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225" yWindow="975" windowWidth="11850" windowHeight="6255"/>
  </bookViews>
  <sheets>
    <sheet name="Mississauga CBC Forecast" sheetId="7" r:id="rId1"/>
  </sheets>
  <calcPr calcId="145621"/>
</workbook>
</file>

<file path=xl/calcChain.xml><?xml version="1.0" encoding="utf-8"?>
<calcChain xmlns="http://schemas.openxmlformats.org/spreadsheetml/2006/main">
  <c r="D77" i="7" l="1"/>
  <c r="E77" i="7"/>
  <c r="K73" i="7"/>
  <c r="J73" i="7"/>
  <c r="H73" i="7"/>
  <c r="G73" i="7"/>
  <c r="F73" i="7"/>
  <c r="E73" i="7"/>
  <c r="D73" i="7"/>
  <c r="B72" i="7"/>
  <c r="E80" i="7" l="1"/>
  <c r="F80" i="7"/>
  <c r="F77" i="7"/>
  <c r="F78" i="7" s="1"/>
  <c r="E78" i="7"/>
  <c r="D62" i="7"/>
  <c r="E63" i="7"/>
  <c r="F62" i="7"/>
  <c r="F65" i="7" s="1"/>
  <c r="E62" i="7"/>
  <c r="F57" i="7"/>
  <c r="F58" i="7" s="1"/>
  <c r="E57" i="7"/>
  <c r="E58" i="7" s="1"/>
  <c r="F63" i="7" l="1"/>
  <c r="E65" i="7"/>
  <c r="F74" i="7"/>
  <c r="E74" i="7"/>
  <c r="L78" i="7" l="1"/>
  <c r="K78" i="7"/>
  <c r="J78" i="7"/>
  <c r="I78" i="7"/>
  <c r="H78" i="7"/>
  <c r="G78" i="7"/>
  <c r="D78" i="7"/>
  <c r="G74" i="7"/>
  <c r="H74" i="7"/>
  <c r="I74" i="7"/>
  <c r="J74" i="7"/>
  <c r="K74" i="7"/>
  <c r="L74" i="7"/>
  <c r="D74" i="7"/>
  <c r="B15" i="7" l="1"/>
  <c r="B16" i="7" s="1"/>
  <c r="C15" i="7"/>
  <c r="C16" i="7" s="1"/>
  <c r="G70" i="7"/>
  <c r="L28" i="7"/>
  <c r="L54" i="7" s="1"/>
  <c r="K28" i="7"/>
  <c r="K54" i="7" s="1"/>
  <c r="D50" i="7"/>
  <c r="K80" i="7"/>
  <c r="C62" i="7"/>
  <c r="C57" i="7"/>
  <c r="B62" i="7" s="1"/>
  <c r="B57" i="7"/>
  <c r="B76" i="7"/>
  <c r="K77" i="7" s="1"/>
  <c r="B43" i="7"/>
  <c r="B37" i="7"/>
  <c r="B31" i="7"/>
  <c r="B20" i="7"/>
  <c r="B13" i="7"/>
  <c r="B6" i="7"/>
  <c r="K57" i="7"/>
  <c r="K58" i="7" s="1"/>
  <c r="I42" i="7"/>
  <c r="I46" i="7" s="1"/>
  <c r="H36" i="7"/>
  <c r="H40" i="7" s="1"/>
  <c r="J30" i="7"/>
  <c r="J34" i="7" s="1"/>
  <c r="J19" i="7"/>
  <c r="J24" i="7" s="1"/>
  <c r="H12" i="7"/>
  <c r="H17" i="7" s="1"/>
  <c r="A48" i="7"/>
  <c r="C45" i="7"/>
  <c r="B45" i="7"/>
  <c r="C39" i="7"/>
  <c r="B39" i="7"/>
  <c r="C33" i="7"/>
  <c r="B33" i="7"/>
  <c r="J28" i="7"/>
  <c r="J54" i="7" s="1"/>
  <c r="J70" i="7" s="1"/>
  <c r="I28" i="7"/>
  <c r="I54" i="7" s="1"/>
  <c r="H28" i="7"/>
  <c r="H54" i="7" s="1"/>
  <c r="H70" i="7" s="1"/>
  <c r="G28" i="7"/>
  <c r="G54" i="7" s="1"/>
  <c r="D28" i="7"/>
  <c r="C28" i="7"/>
  <c r="C54" i="7" s="1"/>
  <c r="B28" i="7"/>
  <c r="B54" i="7" s="1"/>
  <c r="A26" i="7"/>
  <c r="C22" i="7"/>
  <c r="C23" i="7" s="1"/>
  <c r="B22" i="7"/>
  <c r="B23" i="7" s="1"/>
  <c r="C8" i="7"/>
  <c r="C9" i="7" s="1"/>
  <c r="B8" i="7"/>
  <c r="B9" i="7" s="1"/>
  <c r="L62" i="7" l="1"/>
  <c r="L63" i="7" s="1"/>
  <c r="D63" i="7"/>
  <c r="I73" i="7"/>
  <c r="I77" i="7"/>
  <c r="K70" i="7"/>
  <c r="G77" i="7"/>
  <c r="L70" i="7"/>
  <c r="I70" i="7"/>
  <c r="L5" i="7"/>
  <c r="L19" i="7"/>
  <c r="L24" i="7" s="1"/>
  <c r="L30" i="7"/>
  <c r="L42" i="7"/>
  <c r="L46" i="7" s="1"/>
  <c r="H57" i="7"/>
  <c r="H58" i="7" s="1"/>
  <c r="L57" i="7"/>
  <c r="L58" i="7" s="1"/>
  <c r="J62" i="7"/>
  <c r="J63" i="7" s="1"/>
  <c r="K12" i="7"/>
  <c r="K17" i="7" s="1"/>
  <c r="K36" i="7"/>
  <c r="K40" i="7" s="1"/>
  <c r="I57" i="7"/>
  <c r="I58" i="7" s="1"/>
  <c r="L12" i="7"/>
  <c r="L17" i="7" s="1"/>
  <c r="L36" i="7"/>
  <c r="L40" i="7" s="1"/>
  <c r="J57" i="7"/>
  <c r="J58" i="7" s="1"/>
  <c r="H62" i="7"/>
  <c r="H63" i="7" s="1"/>
  <c r="K5" i="7"/>
  <c r="K10" i="7" s="1"/>
  <c r="K19" i="7"/>
  <c r="K24" i="7" s="1"/>
  <c r="K30" i="7"/>
  <c r="K34" i="7" s="1"/>
  <c r="K42" i="7"/>
  <c r="K46" i="7" s="1"/>
  <c r="G57" i="7"/>
  <c r="G58" i="7" s="1"/>
  <c r="C72" i="7"/>
  <c r="B80" i="7"/>
  <c r="C76" i="7"/>
  <c r="I80" i="7"/>
  <c r="D57" i="7"/>
  <c r="D58" i="7" s="1"/>
  <c r="C65" i="7"/>
  <c r="J42" i="7"/>
  <c r="J46" i="7" s="1"/>
  <c r="D42" i="7"/>
  <c r="D46" i="7" s="1"/>
  <c r="G36" i="7"/>
  <c r="G40" i="7" s="1"/>
  <c r="I5" i="7"/>
  <c r="I10" i="7" s="1"/>
  <c r="G42" i="7"/>
  <c r="G46" i="7" s="1"/>
  <c r="H42" i="7"/>
  <c r="H46" i="7" s="1"/>
  <c r="I36" i="7"/>
  <c r="I40" i="7" s="1"/>
  <c r="D36" i="7"/>
  <c r="D40" i="7" s="1"/>
  <c r="J36" i="7"/>
  <c r="C48" i="7"/>
  <c r="G30" i="7"/>
  <c r="G34" i="7" s="1"/>
  <c r="H30" i="7"/>
  <c r="H34" i="7" s="1"/>
  <c r="I30" i="7"/>
  <c r="I34" i="7" s="1"/>
  <c r="D30" i="7"/>
  <c r="D34" i="7" s="1"/>
  <c r="H19" i="7"/>
  <c r="H24" i="7" s="1"/>
  <c r="G19" i="7"/>
  <c r="G24" i="7" s="1"/>
  <c r="I19" i="7"/>
  <c r="I24" i="7" s="1"/>
  <c r="D19" i="7"/>
  <c r="D24" i="7" s="1"/>
  <c r="G12" i="7"/>
  <c r="G17" i="7" s="1"/>
  <c r="I12" i="7"/>
  <c r="I17" i="7" s="1"/>
  <c r="D12" i="7"/>
  <c r="D17" i="7" s="1"/>
  <c r="J12" i="7"/>
  <c r="J17" i="7" s="1"/>
  <c r="D5" i="7"/>
  <c r="D10" i="7" s="1"/>
  <c r="G5" i="7"/>
  <c r="G10" i="7" s="1"/>
  <c r="C26" i="7"/>
  <c r="H5" i="7"/>
  <c r="H10" i="7" s="1"/>
  <c r="J5" i="7"/>
  <c r="J10" i="7" s="1"/>
  <c r="L65" i="7" l="1"/>
  <c r="L73" i="7"/>
  <c r="J80" i="7"/>
  <c r="K48" i="7"/>
  <c r="L77" i="7"/>
  <c r="H77" i="7"/>
  <c r="J77" i="7"/>
  <c r="K26" i="7"/>
  <c r="K85" i="7" s="1"/>
  <c r="J48" i="7"/>
  <c r="J40" i="7"/>
  <c r="L48" i="7"/>
  <c r="L34" i="7"/>
  <c r="I62" i="7"/>
  <c r="K62" i="7"/>
  <c r="G62" i="7"/>
  <c r="G63" i="7" s="1"/>
  <c r="L26" i="7"/>
  <c r="L85" i="7" s="1"/>
  <c r="L10" i="7"/>
  <c r="G80" i="7"/>
  <c r="C80" i="7"/>
  <c r="D26" i="7"/>
  <c r="J65" i="7"/>
  <c r="G48" i="7"/>
  <c r="B26" i="7"/>
  <c r="B65" i="7"/>
  <c r="B48" i="7"/>
  <c r="H65" i="7"/>
  <c r="D65" i="7"/>
  <c r="I48" i="7"/>
  <c r="J26" i="7"/>
  <c r="H48" i="7"/>
  <c r="C52" i="7"/>
  <c r="C68" i="7" s="1"/>
  <c r="D48" i="7"/>
  <c r="D52" i="7" s="1"/>
  <c r="I26" i="7"/>
  <c r="H26" i="7"/>
  <c r="G26" i="7"/>
  <c r="F68" i="7" l="1"/>
  <c r="F82" i="7" s="1"/>
  <c r="F102" i="7" s="1"/>
  <c r="E68" i="7"/>
  <c r="E82" i="7" s="1"/>
  <c r="E102" i="7" s="1"/>
  <c r="H52" i="7"/>
  <c r="J52" i="7"/>
  <c r="J68" i="7" s="1"/>
  <c r="J82" i="7" s="1"/>
  <c r="G65" i="7"/>
  <c r="K65" i="7"/>
  <c r="K63" i="7"/>
  <c r="I65" i="7"/>
  <c r="I63" i="7"/>
  <c r="L80" i="7"/>
  <c r="K52" i="7"/>
  <c r="L52" i="7"/>
  <c r="L68" i="7" s="1"/>
  <c r="L82" i="7" s="1"/>
  <c r="D80" i="7"/>
  <c r="D86" i="7" s="1"/>
  <c r="G86" i="7" s="1"/>
  <c r="H80" i="7"/>
  <c r="D68" i="7"/>
  <c r="D82" i="7" s="1"/>
  <c r="G52" i="7"/>
  <c r="I52" i="7"/>
  <c r="B52" i="7"/>
  <c r="B68" i="7" s="1"/>
  <c r="D102" i="7" l="1"/>
  <c r="D85" i="7"/>
  <c r="K68" i="7"/>
  <c r="K82" i="7" s="1"/>
  <c r="H68" i="7"/>
  <c r="H82" i="7" s="1"/>
  <c r="H83" i="7" s="1"/>
  <c r="I68" i="7"/>
  <c r="I82" i="7" s="1"/>
  <c r="J84" i="7"/>
  <c r="G68" i="7"/>
  <c r="G82" i="7" s="1"/>
  <c r="G83" i="7" s="1"/>
  <c r="I84" i="7"/>
  <c r="D83" i="7" l="1"/>
  <c r="D84" i="7"/>
</calcChain>
</file>

<file path=xl/sharedStrings.xml><?xml version="1.0" encoding="utf-8"?>
<sst xmlns="http://schemas.openxmlformats.org/spreadsheetml/2006/main" count="108" uniqueCount="70">
  <si>
    <t>10 Year Units Forecast</t>
  </si>
  <si>
    <t>Av. density units/acre</t>
  </si>
  <si>
    <t>Av. land value/acre</t>
  </si>
  <si>
    <t>Av. land value/unit</t>
  </si>
  <si>
    <t>CIL Rate</t>
  </si>
  <si>
    <t>Current Approach: CIL Rate</t>
  </si>
  <si>
    <t>Downtown Core</t>
  </si>
  <si>
    <t>Major Nodes, Cooksville, Fairview, Hospital, Community Nodes</t>
  </si>
  <si>
    <t>Av. land value/sq. ft. (700 sq. ft. gross unit)</t>
  </si>
  <si>
    <t>Condos/Apartments</t>
  </si>
  <si>
    <t>Rows, Stacked, Back-to-Back</t>
  </si>
  <si>
    <t>Neighbourhoods</t>
  </si>
  <si>
    <t xml:space="preserve">Infill and Severance </t>
  </si>
  <si>
    <t>Greenfield Development</t>
  </si>
  <si>
    <t>10 Year Units Forecast (20% in Port Credit)</t>
  </si>
  <si>
    <t>TOTAL SINGLES AND SEMIS</t>
  </si>
  <si>
    <t>Development Type</t>
  </si>
  <si>
    <t>% of Future Development</t>
  </si>
  <si>
    <t># of units (2020-2029) 10 Year</t>
  </si>
  <si>
    <t xml:space="preserve">Finance adjusted forecast </t>
  </si>
  <si>
    <t>Low Rise</t>
  </si>
  <si>
    <t>Mid Rise – Rows and other multiples</t>
  </si>
  <si>
    <t>DT 14%</t>
  </si>
  <si>
    <t>MN 15%</t>
  </si>
  <si>
    <t>CN 7%</t>
  </si>
  <si>
    <t>NHD 64%</t>
  </si>
  <si>
    <t>High Rise - Apartments</t>
  </si>
  <si>
    <t>DT 70%</t>
  </si>
  <si>
    <t>DT  12,963 (13,000)</t>
  </si>
  <si>
    <t>     DT Core – 50%</t>
  </si>
  <si>
    <t>        9,260  (9,300)</t>
  </si>
  <si>
    <t>     DT Non-core – 20%</t>
  </si>
  <si>
    <t>        3,704  (3,700)</t>
  </si>
  <si>
    <t>MN 17%</t>
  </si>
  <si>
    <t>CN 4%</t>
  </si>
  <si>
    <t>NHD 9%</t>
  </si>
  <si>
    <t>Source: 2013 Mississauga Growth Forecasts</t>
  </si>
  <si>
    <t>Source: 2019 DC Background Study</t>
  </si>
  <si>
    <t>Singles/Semis</t>
  </si>
  <si>
    <t>Lower</t>
  </si>
  <si>
    <t>Upper</t>
  </si>
  <si>
    <t>10% - Lower</t>
  </si>
  <si>
    <t>10% - Upper</t>
  </si>
  <si>
    <t>20% - Lower</t>
  </si>
  <si>
    <t>20% - Upper</t>
  </si>
  <si>
    <t>PLANNING NUMBERS</t>
  </si>
  <si>
    <t>Current Approach: 5%</t>
  </si>
  <si>
    <t>Section 37</t>
  </si>
  <si>
    <t>TOTAL HIGH AND MID DENSITY INCL S. 37</t>
  </si>
  <si>
    <t>GRAND TOTAL RESIDENTIAL</t>
  </si>
  <si>
    <t xml:space="preserve">NON-RESIDENTIAL </t>
  </si>
  <si>
    <t>Current Approach: 5%, 2%</t>
  </si>
  <si>
    <t>GRAND TOTAL NON-RESIDENTIAL</t>
  </si>
  <si>
    <t>TOTAL ALL USES</t>
  </si>
  <si>
    <t>Av. cost per lot (42 ft frontage)</t>
  </si>
  <si>
    <t>Av. cost per lot (42 frontage)</t>
  </si>
  <si>
    <t>30% - Lower</t>
  </si>
  <si>
    <t>30% - Upper</t>
  </si>
  <si>
    <t>Charge Per unit</t>
  </si>
  <si>
    <t>Charge Per Acre</t>
  </si>
  <si>
    <t>What if status quo for all uses but 20% CBC for high and mid density res</t>
  </si>
  <si>
    <t>What if status quo for all uses but 10% for mid density and 30% for high density</t>
  </si>
  <si>
    <t>% High and Mid rise</t>
  </si>
  <si>
    <t>DC Impact</t>
  </si>
  <si>
    <t>5% - Lower</t>
  </si>
  <si>
    <t>5% - Upper</t>
  </si>
  <si>
    <t>5%, 2% - Lower</t>
  </si>
  <si>
    <t>5%, 2% - Upper</t>
  </si>
  <si>
    <t>"Other" Non-Residential Acres 10-Year Forecast (60% of DC forecast, 1.5 FSI)</t>
  </si>
  <si>
    <t>Non-Res Acres (Chargeable) 10 Year Forecast (60% of DC forecast, 0.5 FSI)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</si>
</sst>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&quot;$&quot;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2" borderId="0" xfId="0" applyFont="1" applyFill="1"/>
    <xf numFmtId="0" fontId="3" fillId="3" borderId="0" xfId="0" applyFont="1" applyFill="1"/>
    <xf numFmtId="9" fontId="0" fillId="3" borderId="0" xfId="0" applyNumberFormat="1" applyFill="1" applyAlignment="1">
      <alignment horizontal="center"/>
    </xf>
    <xf numFmtId="0" fontId="0" fillId="3" borderId="0" xfId="0" applyFill="1"/>
    <xf numFmtId="0" fontId="0" fillId="0" borderId="0" xfId="0" applyFont="1"/>
    <xf numFmtId="0" fontId="3" fillId="2" borderId="0" xfId="0" applyFont="1" applyFill="1" applyBorder="1" applyAlignment="1">
      <alignment vertical="center"/>
    </xf>
    <xf numFmtId="0" fontId="5" fillId="4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/>
    <xf numFmtId="0" fontId="7" fillId="0" borderId="4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6" xfId="0" applyNumberFormat="1" applyFont="1" applyBorder="1" applyAlignment="1">
      <alignment vertical="center" wrapText="1"/>
    </xf>
    <xf numFmtId="3" fontId="7" fillId="0" borderId="6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0" xfId="0" applyFont="1" applyFill="1"/>
    <xf numFmtId="0" fontId="7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165" fontId="0" fillId="0" borderId="8" xfId="2" applyNumberFormat="1" applyFont="1" applyBorder="1"/>
    <xf numFmtId="166" fontId="0" fillId="0" borderId="8" xfId="2" applyNumberFormat="1" applyFont="1" applyBorder="1"/>
    <xf numFmtId="0" fontId="0" fillId="0" borderId="8" xfId="0" applyBorder="1"/>
    <xf numFmtId="165" fontId="5" fillId="4" borderId="10" xfId="2" applyNumberFormat="1" applyFont="1" applyFill="1" applyBorder="1" applyAlignment="1">
      <alignment horizontal="center"/>
    </xf>
    <xf numFmtId="0" fontId="0" fillId="0" borderId="10" xfId="0" applyBorder="1"/>
    <xf numFmtId="166" fontId="0" fillId="0" borderId="10" xfId="2" applyNumberFormat="1" applyFont="1" applyBorder="1"/>
    <xf numFmtId="166" fontId="3" fillId="2" borderId="10" xfId="2" applyNumberFormat="1" applyFont="1" applyFill="1" applyBorder="1"/>
    <xf numFmtId="166" fontId="3" fillId="3" borderId="8" xfId="2" applyNumberFormat="1" applyFont="1" applyFill="1" applyBorder="1"/>
    <xf numFmtId="166" fontId="3" fillId="3" borderId="10" xfId="2" applyNumberFormat="1" applyFont="1" applyFill="1" applyBorder="1"/>
    <xf numFmtId="165" fontId="5" fillId="4" borderId="8" xfId="2" applyNumberFormat="1" applyFont="1" applyFill="1" applyBorder="1" applyAlignment="1">
      <alignment horizontal="center"/>
    </xf>
    <xf numFmtId="166" fontId="3" fillId="3" borderId="9" xfId="2" applyNumberFormat="1" applyFont="1" applyFill="1" applyBorder="1"/>
    <xf numFmtId="166" fontId="3" fillId="2" borderId="9" xfId="0" applyNumberFormat="1" applyFont="1" applyFill="1" applyBorder="1" applyAlignment="1">
      <alignment vertical="center" wrapText="1"/>
    </xf>
    <xf numFmtId="165" fontId="0" fillId="0" borderId="10" xfId="2" applyNumberFormat="1" applyFont="1" applyBorder="1"/>
    <xf numFmtId="164" fontId="0" fillId="0" borderId="10" xfId="1" applyNumberFormat="1" applyFont="1" applyBorder="1"/>
    <xf numFmtId="166" fontId="3" fillId="2" borderId="10" xfId="0" applyNumberFormat="1" applyFont="1" applyFill="1" applyBorder="1" applyAlignment="1">
      <alignment vertical="center" wrapText="1"/>
    </xf>
    <xf numFmtId="164" fontId="0" fillId="0" borderId="8" xfId="1" applyNumberFormat="1" applyFont="1" applyBorder="1"/>
    <xf numFmtId="0" fontId="8" fillId="5" borderId="0" xfId="0" applyFont="1" applyFill="1" applyBorder="1" applyAlignment="1">
      <alignment vertical="center"/>
    </xf>
    <xf numFmtId="165" fontId="3" fillId="0" borderId="10" xfId="2" applyNumberFormat="1" applyFont="1" applyBorder="1" applyAlignment="1">
      <alignment horizontal="center"/>
    </xf>
    <xf numFmtId="165" fontId="6" fillId="0" borderId="10" xfId="2" applyNumberFormat="1" applyFont="1" applyFill="1" applyBorder="1" applyAlignment="1">
      <alignment horizontal="center"/>
    </xf>
    <xf numFmtId="0" fontId="0" fillId="0" borderId="9" xfId="0" applyBorder="1"/>
    <xf numFmtId="166" fontId="8" fillId="5" borderId="10" xfId="0" applyNumberFormat="1" applyFont="1" applyFill="1" applyBorder="1" applyAlignment="1">
      <alignment vertical="center" wrapText="1"/>
    </xf>
    <xf numFmtId="164" fontId="7" fillId="0" borderId="0" xfId="1" applyNumberFormat="1" applyFont="1"/>
    <xf numFmtId="0" fontId="7" fillId="0" borderId="3" xfId="0" applyFont="1" applyBorder="1" applyAlignment="1">
      <alignment vertical="center" wrapText="1"/>
    </xf>
    <xf numFmtId="166" fontId="0" fillId="0" borderId="10" xfId="1" applyNumberFormat="1" applyFont="1" applyBorder="1" applyAlignment="1">
      <alignment horizontal="right"/>
    </xf>
    <xf numFmtId="166" fontId="3" fillId="0" borderId="10" xfId="2" applyNumberFormat="1" applyFont="1" applyBorder="1" applyAlignment="1">
      <alignment horizontal="right"/>
    </xf>
    <xf numFmtId="0" fontId="3" fillId="0" borderId="0" xfId="0" applyFont="1" applyFill="1"/>
    <xf numFmtId="166" fontId="3" fillId="0" borderId="8" xfId="2" applyNumberFormat="1" applyFont="1" applyFill="1" applyBorder="1"/>
    <xf numFmtId="166" fontId="3" fillId="0" borderId="10" xfId="2" applyNumberFormat="1" applyFont="1" applyFill="1" applyBorder="1"/>
    <xf numFmtId="166" fontId="3" fillId="0" borderId="0" xfId="2" applyNumberFormat="1" applyFont="1" applyFill="1"/>
    <xf numFmtId="0" fontId="0" fillId="0" borderId="0" xfId="0" applyFill="1"/>
    <xf numFmtId="166" fontId="0" fillId="0" borderId="0" xfId="0" applyNumberFormat="1"/>
    <xf numFmtId="0" fontId="3" fillId="0" borderId="0" xfId="0" applyFont="1"/>
    <xf numFmtId="43" fontId="0" fillId="0" borderId="0" xfId="0" applyNumberFormat="1"/>
    <xf numFmtId="0" fontId="3" fillId="6" borderId="0" xfId="0" applyFont="1" applyFill="1"/>
    <xf numFmtId="0" fontId="3" fillId="7" borderId="0" xfId="0" applyFont="1" applyFill="1"/>
    <xf numFmtId="166" fontId="3" fillId="7" borderId="0" xfId="2" applyNumberFormat="1" applyFont="1" applyFill="1"/>
    <xf numFmtId="166" fontId="3" fillId="7" borderId="0" xfId="0" applyNumberFormat="1" applyFont="1" applyFill="1"/>
    <xf numFmtId="9" fontId="3" fillId="0" borderId="0" xfId="3" applyFont="1" applyFill="1"/>
    <xf numFmtId="0" fontId="0" fillId="8" borderId="0" xfId="0" applyFill="1"/>
    <xf numFmtId="166" fontId="0" fillId="8" borderId="8" xfId="2" applyNumberFormat="1" applyFont="1" applyFill="1" applyBorder="1"/>
    <xf numFmtId="166" fontId="0" fillId="8" borderId="10" xfId="2" applyNumberFormat="1" applyFont="1" applyFill="1" applyBorder="1"/>
    <xf numFmtId="166" fontId="0" fillId="0" borderId="8" xfId="2" applyNumberFormat="1" applyFont="1" applyFill="1" applyBorder="1"/>
    <xf numFmtId="166" fontId="0" fillId="0" borderId="10" xfId="2" applyNumberFormat="1" applyFont="1" applyFill="1" applyBorder="1"/>
    <xf numFmtId="0" fontId="4" fillId="0" borderId="0" xfId="0" applyFont="1" applyFill="1"/>
    <xf numFmtId="165" fontId="0" fillId="0" borderId="8" xfId="2" applyNumberFormat="1" applyFont="1" applyFill="1" applyBorder="1"/>
    <xf numFmtId="166" fontId="2" fillId="0" borderId="8" xfId="2" applyNumberFormat="1" applyFont="1" applyFill="1" applyBorder="1"/>
    <xf numFmtId="0" fontId="5" fillId="0" borderId="11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0" fillId="8" borderId="13" xfId="0" applyFill="1" applyBorder="1"/>
    <xf numFmtId="166" fontId="0" fillId="8" borderId="13" xfId="2" applyNumberFormat="1" applyFont="1" applyFill="1" applyBorder="1"/>
    <xf numFmtId="166" fontId="0" fillId="8" borderId="14" xfId="2" applyNumberFormat="1" applyFont="1" applyFill="1" applyBorder="1"/>
    <xf numFmtId="0" fontId="5" fillId="0" borderId="11" xfId="0" applyFont="1" applyFill="1" applyBorder="1" applyAlignment="1">
      <alignment horizontal="center" vertical="center"/>
    </xf>
    <xf numFmtId="166" fontId="0" fillId="0" borderId="8" xfId="1" applyNumberFormat="1" applyFont="1" applyBorder="1" applyAlignment="1">
      <alignment horizontal="right"/>
    </xf>
    <xf numFmtId="167" fontId="0" fillId="0" borderId="0" xfId="0" applyNumberFormat="1"/>
    <xf numFmtId="166" fontId="7" fillId="0" borderId="0" xfId="0" applyNumberFormat="1" applyFont="1"/>
    <xf numFmtId="0" fontId="6" fillId="0" borderId="16" xfId="0" applyFont="1" applyFill="1" applyBorder="1" applyAlignment="1">
      <alignment vertical="center" wrapText="1"/>
    </xf>
    <xf numFmtId="0" fontId="7" fillId="0" borderId="0" xfId="0" applyFont="1" applyBorder="1"/>
    <xf numFmtId="165" fontId="2" fillId="0" borderId="8" xfId="2" applyNumberFormat="1" applyFont="1" applyBorder="1"/>
    <xf numFmtId="166" fontId="3" fillId="2" borderId="8" xfId="0" applyNumberFormat="1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/>
    </xf>
    <xf numFmtId="165" fontId="3" fillId="0" borderId="8" xfId="2" applyNumberFormat="1" applyFont="1" applyBorder="1" applyAlignment="1">
      <alignment horizontal="center"/>
    </xf>
    <xf numFmtId="166" fontId="2" fillId="0" borderId="8" xfId="2" applyNumberFormat="1" applyFont="1" applyBorder="1" applyAlignment="1">
      <alignment horizontal="right"/>
    </xf>
    <xf numFmtId="166" fontId="3" fillId="2" borderId="8" xfId="2" applyNumberFormat="1" applyFont="1" applyFill="1" applyBorder="1"/>
    <xf numFmtId="165" fontId="6" fillId="0" borderId="8" xfId="2" applyNumberFormat="1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165" fontId="2" fillId="0" borderId="10" xfId="2" applyNumberFormat="1" applyFont="1" applyBorder="1"/>
    <xf numFmtId="0" fontId="5" fillId="4" borderId="10" xfId="0" applyFont="1" applyFill="1" applyBorder="1" applyAlignment="1">
      <alignment horizontal="center" vertical="center"/>
    </xf>
    <xf numFmtId="166" fontId="2" fillId="0" borderId="10" xfId="2" applyNumberFormat="1" applyFont="1" applyBorder="1" applyAlignment="1">
      <alignment horizontal="right"/>
    </xf>
    <xf numFmtId="166" fontId="8" fillId="5" borderId="8" xfId="0" applyNumberFormat="1" applyFont="1" applyFill="1" applyBorder="1" applyAlignment="1">
      <alignment vertical="center" wrapText="1"/>
    </xf>
    <xf numFmtId="9" fontId="0" fillId="0" borderId="8" xfId="3" applyFont="1" applyBorder="1"/>
    <xf numFmtId="9" fontId="0" fillId="0" borderId="10" xfId="3" applyFont="1" applyBorder="1"/>
    <xf numFmtId="0" fontId="5" fillId="4" borderId="10" xfId="0" applyFont="1" applyFill="1" applyBorder="1" applyAlignment="1">
      <alignment horizontal="center"/>
    </xf>
    <xf numFmtId="165" fontId="0" fillId="0" borderId="10" xfId="2" applyNumberFormat="1" applyFont="1" applyFill="1" applyBorder="1"/>
    <xf numFmtId="166" fontId="2" fillId="0" borderId="10" xfId="2" applyNumberFormat="1" applyFont="1" applyFill="1" applyBorder="1"/>
    <xf numFmtId="166" fontId="0" fillId="3" borderId="0" xfId="0" applyNumberFormat="1" applyFill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4" fillId="0" borderId="8" xfId="0" applyFont="1" applyBorder="1"/>
    <xf numFmtId="165" fontId="0" fillId="0" borderId="8" xfId="0" applyNumberFormat="1" applyBorder="1"/>
    <xf numFmtId="165" fontId="0" fillId="0" borderId="8" xfId="0" applyNumberFormat="1" applyFill="1" applyBorder="1"/>
    <xf numFmtId="165" fontId="3" fillId="3" borderId="8" xfId="2" applyNumberFormat="1" applyFont="1" applyFill="1" applyBorder="1"/>
    <xf numFmtId="165" fontId="3" fillId="3" borderId="10" xfId="2" applyNumberFormat="1" applyFont="1" applyFill="1" applyBorder="1"/>
    <xf numFmtId="165" fontId="3" fillId="0" borderId="8" xfId="2" applyNumberFormat="1" applyFont="1" applyFill="1" applyBorder="1"/>
    <xf numFmtId="165" fontId="3" fillId="0" borderId="10" xfId="2" applyNumberFormat="1" applyFont="1" applyFill="1" applyBorder="1"/>
    <xf numFmtId="165" fontId="3" fillId="2" borderId="8" xfId="2" applyNumberFormat="1" applyFont="1" applyFill="1" applyBorder="1" applyAlignment="1">
      <alignment vertical="center" wrapText="1"/>
    </xf>
    <xf numFmtId="165" fontId="3" fillId="2" borderId="10" xfId="2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165" fontId="6" fillId="2" borderId="10" xfId="0" applyNumberFormat="1" applyFont="1" applyFill="1" applyBorder="1"/>
    <xf numFmtId="0" fontId="6" fillId="0" borderId="8" xfId="0" applyFont="1" applyFill="1" applyBorder="1"/>
    <xf numFmtId="0" fontId="7" fillId="0" borderId="10" xfId="0" applyFont="1" applyFill="1" applyBorder="1" applyAlignment="1">
      <alignment vertical="center" wrapText="1"/>
    </xf>
    <xf numFmtId="165" fontId="8" fillId="5" borderId="8" xfId="2" applyNumberFormat="1" applyFont="1" applyFill="1" applyBorder="1" applyAlignment="1">
      <alignment vertical="center" wrapText="1"/>
    </xf>
    <xf numFmtId="165" fontId="8" fillId="5" borderId="10" xfId="2" applyNumberFormat="1" applyFont="1" applyFill="1" applyBorder="1" applyAlignment="1">
      <alignment vertical="center" wrapText="1"/>
    </xf>
    <xf numFmtId="165" fontId="0" fillId="0" borderId="10" xfId="0" applyNumberFormat="1" applyBorder="1"/>
    <xf numFmtId="165" fontId="0" fillId="0" borderId="11" xfId="2" applyNumberFormat="1" applyFont="1" applyBorder="1"/>
    <xf numFmtId="165" fontId="0" fillId="0" borderId="12" xfId="2" applyNumberFormat="1" applyFont="1" applyBorder="1"/>
    <xf numFmtId="166" fontId="8" fillId="5" borderId="13" xfId="0" applyNumberFormat="1" applyFont="1" applyFill="1" applyBorder="1" applyAlignment="1">
      <alignment vertical="center" wrapText="1"/>
    </xf>
    <xf numFmtId="166" fontId="8" fillId="5" borderId="14" xfId="0" applyNumberFormat="1" applyFont="1" applyFill="1" applyBorder="1" applyAlignment="1">
      <alignment vertical="center" wrapText="1"/>
    </xf>
    <xf numFmtId="0" fontId="0" fillId="0" borderId="17" xfId="0" applyBorder="1"/>
    <xf numFmtId="165" fontId="8" fillId="5" borderId="18" xfId="2" applyNumberFormat="1" applyFont="1" applyFill="1" applyBorder="1" applyAlignment="1">
      <alignment vertical="center" wrapText="1"/>
    </xf>
    <xf numFmtId="165" fontId="8" fillId="5" borderId="19" xfId="2" applyNumberFormat="1" applyFont="1" applyFill="1" applyBorder="1" applyAlignment="1">
      <alignment vertical="center" wrapText="1"/>
    </xf>
    <xf numFmtId="166" fontId="3" fillId="6" borderId="13" xfId="2" applyNumberFormat="1" applyFont="1" applyFill="1" applyBorder="1"/>
    <xf numFmtId="166" fontId="3" fillId="6" borderId="14" xfId="2" applyNumberFormat="1" applyFont="1" applyFill="1" applyBorder="1"/>
    <xf numFmtId="166" fontId="8" fillId="5" borderId="17" xfId="0" applyNumberFormat="1" applyFont="1" applyFill="1" applyBorder="1" applyAlignment="1">
      <alignment vertical="center" wrapText="1"/>
    </xf>
    <xf numFmtId="166" fontId="3" fillId="6" borderId="15" xfId="0" applyNumberFormat="1" applyFont="1" applyFill="1" applyBorder="1"/>
    <xf numFmtId="0" fontId="0" fillId="0" borderId="11" xfId="0" applyBorder="1"/>
    <xf numFmtId="0" fontId="0" fillId="0" borderId="12" xfId="0" applyBorder="1"/>
    <xf numFmtId="166" fontId="3" fillId="6" borderId="13" xfId="0" applyNumberFormat="1" applyFont="1" applyFill="1" applyBorder="1"/>
    <xf numFmtId="166" fontId="3" fillId="6" borderId="14" xfId="0" applyNumberFormat="1" applyFont="1" applyFill="1" applyBorder="1"/>
    <xf numFmtId="165" fontId="5" fillId="4" borderId="12" xfId="2" applyNumberFormat="1" applyFont="1" applyFill="1" applyBorder="1" applyAlignment="1">
      <alignment horizontal="center"/>
    </xf>
    <xf numFmtId="166" fontId="8" fillId="5" borderId="9" xfId="0" applyNumberFormat="1" applyFont="1" applyFill="1" applyBorder="1" applyAlignment="1">
      <alignment vertical="center" wrapText="1"/>
    </xf>
    <xf numFmtId="166" fontId="0" fillId="0" borderId="8" xfId="0" applyNumberFormat="1" applyBorder="1"/>
    <xf numFmtId="166" fontId="0" fillId="0" borderId="10" xfId="0" applyNumberFormat="1" applyBorder="1"/>
    <xf numFmtId="165" fontId="5" fillId="4" borderId="11" xfId="2" applyNumberFormat="1" applyFont="1" applyFill="1" applyBorder="1" applyAlignment="1">
      <alignment horizontal="center"/>
    </xf>
    <xf numFmtId="166" fontId="3" fillId="0" borderId="8" xfId="2" applyNumberFormat="1" applyFont="1" applyBorder="1" applyAlignment="1">
      <alignment horizontal="right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8" xfId="0" applyFont="1" applyBorder="1" applyAlignment="1">
      <alignment wrapText="1"/>
    </xf>
    <xf numFmtId="0" fontId="7" fillId="0" borderId="8" xfId="0" applyFont="1" applyBorder="1"/>
    <xf numFmtId="0" fontId="7" fillId="8" borderId="8" xfId="0" applyFont="1" applyFill="1" applyBorder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topLeftCell="A10" zoomScale="81" zoomScaleNormal="81" workbookViewId="0">
      <selection activeCell="A103" sqref="A103"/>
    </sheetView>
  </sheetViews>
  <sheetFormatPr defaultRowHeight="15" x14ac:dyDescent="0.25"/>
  <cols>
    <col min="1" max="1" width="65.42578125" customWidth="1"/>
    <col min="2" max="2" width="17.28515625" customWidth="1"/>
    <col min="3" max="3" width="15" bestFit="1" customWidth="1"/>
    <col min="4" max="4" width="25.7109375" customWidth="1"/>
    <col min="5" max="5" width="15" customWidth="1"/>
    <col min="6" max="6" width="14.85546875" customWidth="1"/>
    <col min="7" max="9" width="17" customWidth="1"/>
    <col min="10" max="10" width="16.28515625" customWidth="1"/>
    <col min="11" max="11" width="16.28515625" bestFit="1" customWidth="1"/>
    <col min="12" max="12" width="14.85546875" customWidth="1"/>
  </cols>
  <sheetData>
    <row r="1" spans="1:12" ht="14.25" x14ac:dyDescent="0.45">
      <c r="A1" s="5" t="s">
        <v>45</v>
      </c>
      <c r="D1" s="2" t="s">
        <v>4</v>
      </c>
      <c r="E1" s="2"/>
      <c r="F1" s="2"/>
      <c r="G1" s="2"/>
    </row>
    <row r="2" spans="1:12" ht="14.25" x14ac:dyDescent="0.45">
      <c r="A2" s="7"/>
      <c r="B2" s="7"/>
      <c r="C2" s="5"/>
      <c r="D2" s="109">
        <v>10100</v>
      </c>
      <c r="E2" s="6"/>
      <c r="F2" s="6"/>
      <c r="G2" s="6">
        <v>0.1</v>
      </c>
      <c r="H2" s="6">
        <v>0.1</v>
      </c>
      <c r="I2" s="6">
        <v>0.2</v>
      </c>
      <c r="J2" s="6">
        <v>0.2</v>
      </c>
      <c r="K2" s="6">
        <v>0.3</v>
      </c>
      <c r="L2" s="6">
        <v>0.3</v>
      </c>
    </row>
    <row r="3" spans="1:12" ht="14.25" x14ac:dyDescent="0.45">
      <c r="A3" s="10" t="s">
        <v>9</v>
      </c>
      <c r="B3" s="110" t="s">
        <v>39</v>
      </c>
      <c r="C3" s="111" t="s">
        <v>40</v>
      </c>
      <c r="D3" s="99" t="s">
        <v>5</v>
      </c>
      <c r="E3" s="34"/>
      <c r="F3" s="106"/>
      <c r="G3" s="110" t="s">
        <v>41</v>
      </c>
      <c r="H3" s="145" t="s">
        <v>42</v>
      </c>
      <c r="I3" s="149" t="s">
        <v>43</v>
      </c>
      <c r="J3" s="145" t="s">
        <v>44</v>
      </c>
      <c r="K3" s="149" t="s">
        <v>56</v>
      </c>
      <c r="L3" s="145" t="s">
        <v>57</v>
      </c>
    </row>
    <row r="4" spans="1:12" ht="14.25" x14ac:dyDescent="0.45">
      <c r="A4" s="3" t="s">
        <v>6</v>
      </c>
      <c r="B4" s="112"/>
      <c r="C4" s="47"/>
      <c r="D4" s="130"/>
      <c r="E4" s="130"/>
      <c r="F4" s="131"/>
      <c r="G4" s="35"/>
      <c r="H4" s="39"/>
      <c r="I4" s="37"/>
      <c r="J4" s="39"/>
      <c r="K4" s="37"/>
      <c r="L4" s="39"/>
    </row>
    <row r="5" spans="1:12" ht="14.25" x14ac:dyDescent="0.45">
      <c r="A5" t="s">
        <v>0</v>
      </c>
      <c r="B5" s="113">
        <v>7100</v>
      </c>
      <c r="C5" s="107">
        <v>7100</v>
      </c>
      <c r="D5" s="36">
        <f>ROUND($C5*D$2,-3)</f>
        <v>71710000</v>
      </c>
      <c r="E5" s="36"/>
      <c r="F5" s="40"/>
      <c r="G5" s="36">
        <f>ROUND($C5/$C6*$B7*H$2,-3)</f>
        <v>21300000</v>
      </c>
      <c r="H5" s="40">
        <f>ROUND($C5/$C6*$C7*H$2,-3)</f>
        <v>28400000</v>
      </c>
      <c r="I5" s="36">
        <f>ROUND($C5/$C6*$B7*J$2,-3)</f>
        <v>42600000</v>
      </c>
      <c r="J5" s="40">
        <f>ROUND($C5/$C6*$C7*J$2,-3)</f>
        <v>56800000</v>
      </c>
      <c r="K5" s="36">
        <f>ROUND($C5/$C6*$B7*L$2,-3)</f>
        <v>63900000</v>
      </c>
      <c r="L5" s="40">
        <f>ROUND($C5/$C6*$C7*L$2,-3)</f>
        <v>85200000</v>
      </c>
    </row>
    <row r="6" spans="1:12" ht="14.25" x14ac:dyDescent="0.45">
      <c r="A6" t="s">
        <v>1</v>
      </c>
      <c r="B6" s="113">
        <f>C6</f>
        <v>500</v>
      </c>
      <c r="C6" s="107">
        <v>500</v>
      </c>
      <c r="D6" s="35"/>
      <c r="E6" s="35"/>
      <c r="F6" s="47"/>
      <c r="G6" s="35"/>
      <c r="H6" s="40"/>
      <c r="I6" s="36"/>
      <c r="J6" s="40"/>
      <c r="K6" s="36"/>
      <c r="L6" s="40"/>
    </row>
    <row r="7" spans="1:12" ht="14.25" x14ac:dyDescent="0.45">
      <c r="A7" t="s">
        <v>2</v>
      </c>
      <c r="B7" s="36">
        <v>15000000</v>
      </c>
      <c r="C7" s="40">
        <v>20000000</v>
      </c>
      <c r="D7" s="35"/>
      <c r="E7" s="35"/>
      <c r="F7" s="47"/>
      <c r="G7" s="35"/>
      <c r="H7" s="40"/>
      <c r="I7" s="36"/>
      <c r="J7" s="40"/>
      <c r="K7" s="36"/>
      <c r="L7" s="40"/>
    </row>
    <row r="8" spans="1:12" ht="14.25" x14ac:dyDescent="0.45">
      <c r="A8" t="s">
        <v>3</v>
      </c>
      <c r="B8" s="36">
        <f>B7/C6</f>
        <v>30000</v>
      </c>
      <c r="C8" s="40">
        <f>C7/C6</f>
        <v>40000</v>
      </c>
      <c r="D8" s="37"/>
      <c r="E8" s="37"/>
      <c r="F8" s="39"/>
      <c r="G8" s="37"/>
      <c r="H8" s="39"/>
      <c r="I8" s="37"/>
      <c r="J8" s="40"/>
      <c r="K8" s="37"/>
      <c r="L8" s="40"/>
    </row>
    <row r="9" spans="1:12" ht="14.25" x14ac:dyDescent="0.45">
      <c r="A9" t="s">
        <v>8</v>
      </c>
      <c r="B9" s="36">
        <f>B8/(700*1.15)</f>
        <v>37.267080745341623</v>
      </c>
      <c r="C9" s="40">
        <f>C8/(700*1.15)</f>
        <v>49.689440993788828</v>
      </c>
      <c r="D9" s="35"/>
      <c r="E9" s="35"/>
      <c r="F9" s="47"/>
      <c r="G9" s="35"/>
      <c r="H9" s="40"/>
      <c r="I9" s="36"/>
      <c r="J9" s="40"/>
      <c r="K9" s="36"/>
      <c r="L9" s="40"/>
    </row>
    <row r="10" spans="1:12" s="64" customFormat="1" ht="14.25" x14ac:dyDescent="0.45">
      <c r="A10" s="73" t="s">
        <v>58</v>
      </c>
      <c r="B10" s="74"/>
      <c r="C10" s="75"/>
      <c r="D10" s="74">
        <f>D5/$C5</f>
        <v>10100</v>
      </c>
      <c r="E10" s="74"/>
      <c r="F10" s="75"/>
      <c r="G10" s="74">
        <f t="shared" ref="G10:L10" si="0">G5/$C5</f>
        <v>3000</v>
      </c>
      <c r="H10" s="75">
        <f t="shared" si="0"/>
        <v>4000</v>
      </c>
      <c r="I10" s="74">
        <f t="shared" si="0"/>
        <v>6000</v>
      </c>
      <c r="J10" s="75">
        <f t="shared" si="0"/>
        <v>8000</v>
      </c>
      <c r="K10" s="74">
        <f t="shared" si="0"/>
        <v>9000</v>
      </c>
      <c r="L10" s="75">
        <f t="shared" si="0"/>
        <v>12000</v>
      </c>
    </row>
    <row r="11" spans="1:12" s="64" customFormat="1" ht="14.25" x14ac:dyDescent="0.45">
      <c r="A11" s="78" t="s">
        <v>7</v>
      </c>
      <c r="B11" s="76"/>
      <c r="C11" s="107"/>
      <c r="D11" s="79"/>
      <c r="E11" s="79"/>
      <c r="F11" s="107"/>
      <c r="G11" s="79"/>
      <c r="H11" s="77"/>
      <c r="I11" s="76"/>
      <c r="J11" s="77"/>
      <c r="K11" s="76"/>
      <c r="L11" s="77"/>
    </row>
    <row r="12" spans="1:12" s="64" customFormat="1" ht="14.25" x14ac:dyDescent="0.45">
      <c r="A12" s="64" t="s">
        <v>0</v>
      </c>
      <c r="B12" s="114">
        <v>5820</v>
      </c>
      <c r="C12" s="107">
        <v>5820</v>
      </c>
      <c r="D12" s="76">
        <f>ROUND($C12*D$2,-3)</f>
        <v>58782000</v>
      </c>
      <c r="E12" s="76"/>
      <c r="F12" s="77"/>
      <c r="G12" s="76">
        <f>ROUND($C12/$C13*$B14*H$2,-3)</f>
        <v>19954000</v>
      </c>
      <c r="H12" s="77">
        <f>ROUND($C12/$C13*$C14*H$2,-3)</f>
        <v>29931000</v>
      </c>
      <c r="I12" s="76">
        <f>ROUND($C12/$C13*$B14*J$2,-3)</f>
        <v>39909000</v>
      </c>
      <c r="J12" s="77">
        <f>ROUND($C12/$C13*$C14*J$2,-3)</f>
        <v>59863000</v>
      </c>
      <c r="K12" s="76">
        <f>ROUND($C12/$C13*$B14*L$2,-3)</f>
        <v>59863000</v>
      </c>
      <c r="L12" s="77">
        <f>ROUND($C12/$C13*$C14*L$2,-3)</f>
        <v>89794000</v>
      </c>
    </row>
    <row r="13" spans="1:12" s="64" customFormat="1" ht="14.25" x14ac:dyDescent="0.45">
      <c r="A13" s="64" t="s">
        <v>1</v>
      </c>
      <c r="B13" s="114">
        <f>C13</f>
        <v>350</v>
      </c>
      <c r="C13" s="107">
        <v>350</v>
      </c>
      <c r="D13" s="79"/>
      <c r="E13" s="79"/>
      <c r="F13" s="107"/>
      <c r="G13" s="79"/>
      <c r="H13" s="77"/>
      <c r="I13" s="76"/>
      <c r="J13" s="77"/>
      <c r="K13" s="76"/>
      <c r="L13" s="77"/>
    </row>
    <row r="14" spans="1:12" s="64" customFormat="1" ht="14.25" x14ac:dyDescent="0.45">
      <c r="A14" s="64" t="s">
        <v>2</v>
      </c>
      <c r="B14" s="76">
        <v>12000000</v>
      </c>
      <c r="C14" s="77">
        <v>18000000</v>
      </c>
      <c r="D14" s="80"/>
      <c r="E14" s="80"/>
      <c r="F14" s="108"/>
      <c r="G14" s="80"/>
      <c r="H14" s="77"/>
      <c r="I14" s="76"/>
      <c r="J14" s="77"/>
      <c r="K14" s="76"/>
      <c r="L14" s="77"/>
    </row>
    <row r="15" spans="1:12" s="64" customFormat="1" ht="14.25" x14ac:dyDescent="0.45">
      <c r="A15" s="64" t="s">
        <v>3</v>
      </c>
      <c r="B15" s="76">
        <f>ROUND(B14/B13,-2)</f>
        <v>34300</v>
      </c>
      <c r="C15" s="77">
        <f>ROUND(C14/C13,-2)</f>
        <v>51400</v>
      </c>
      <c r="D15" s="80"/>
      <c r="E15" s="80"/>
      <c r="F15" s="108"/>
      <c r="G15" s="80"/>
      <c r="H15" s="77"/>
      <c r="I15" s="76"/>
      <c r="J15" s="77"/>
      <c r="K15" s="76"/>
      <c r="L15" s="77"/>
    </row>
    <row r="16" spans="1:12" s="64" customFormat="1" ht="14.25" x14ac:dyDescent="0.45">
      <c r="A16" s="64" t="s">
        <v>8</v>
      </c>
      <c r="B16" s="76">
        <f>B15/(700*1.15)</f>
        <v>42.608695652173921</v>
      </c>
      <c r="C16" s="77">
        <f>C15/(700*1.15)</f>
        <v>63.850931677018643</v>
      </c>
      <c r="D16" s="80"/>
      <c r="E16" s="80"/>
      <c r="F16" s="108"/>
      <c r="G16" s="80"/>
      <c r="H16" s="77"/>
      <c r="I16" s="76"/>
      <c r="J16" s="77"/>
      <c r="K16" s="76"/>
      <c r="L16" s="77"/>
    </row>
    <row r="17" spans="1:12" s="64" customFormat="1" ht="13.9" customHeight="1" x14ac:dyDescent="0.45">
      <c r="A17" s="73" t="s">
        <v>58</v>
      </c>
      <c r="B17" s="74"/>
      <c r="C17" s="75"/>
      <c r="D17" s="74">
        <f>D12/$C12</f>
        <v>10100</v>
      </c>
      <c r="E17" s="74"/>
      <c r="F17" s="75"/>
      <c r="G17" s="74">
        <f t="shared" ref="G17:L17" si="1">G12/$C12</f>
        <v>3428.5223367697595</v>
      </c>
      <c r="H17" s="75">
        <f t="shared" si="1"/>
        <v>5142.783505154639</v>
      </c>
      <c r="I17" s="74">
        <f t="shared" si="1"/>
        <v>6857.216494845361</v>
      </c>
      <c r="J17" s="75">
        <f t="shared" si="1"/>
        <v>10285.738831615121</v>
      </c>
      <c r="K17" s="74">
        <f t="shared" si="1"/>
        <v>10285.738831615121</v>
      </c>
      <c r="L17" s="75">
        <f t="shared" si="1"/>
        <v>15428.52233676976</v>
      </c>
    </row>
    <row r="18" spans="1:12" s="64" customFormat="1" ht="14.25" x14ac:dyDescent="0.45">
      <c r="A18" s="78" t="s">
        <v>11</v>
      </c>
      <c r="B18" s="76"/>
      <c r="C18" s="77"/>
      <c r="D18" s="79"/>
      <c r="E18" s="79"/>
      <c r="F18" s="107"/>
      <c r="G18" s="79"/>
      <c r="H18" s="77"/>
      <c r="I18" s="76"/>
      <c r="J18" s="77"/>
      <c r="K18" s="76"/>
      <c r="L18" s="77"/>
    </row>
    <row r="19" spans="1:12" s="64" customFormat="1" ht="14.25" x14ac:dyDescent="0.45">
      <c r="A19" s="64" t="s">
        <v>0</v>
      </c>
      <c r="B19" s="114">
        <v>1280</v>
      </c>
      <c r="C19" s="107">
        <v>1280</v>
      </c>
      <c r="D19" s="76">
        <f>ROUND($C19*D$2,-3)</f>
        <v>12928000</v>
      </c>
      <c r="E19" s="76"/>
      <c r="F19" s="77"/>
      <c r="G19" s="76">
        <f>ROUND($C19/$C20*$B21*H$2,-3)</f>
        <v>6400000</v>
      </c>
      <c r="H19" s="77">
        <f>ROUND($C19/$C20*$C21*H$2,-3)</f>
        <v>9600000</v>
      </c>
      <c r="I19" s="76">
        <f>ROUND($C19/$C20*$B21*J$2,-3)</f>
        <v>12800000</v>
      </c>
      <c r="J19" s="77">
        <f>ROUND($C19/$C20*$C21*J$2,-3)</f>
        <v>19200000</v>
      </c>
      <c r="K19" s="76">
        <f>ROUND($C19/$C20*$B21*L$2,-3)</f>
        <v>19200000</v>
      </c>
      <c r="L19" s="77">
        <f>ROUND($C19/$C20*$C21*L$2,-3)</f>
        <v>28800000</v>
      </c>
    </row>
    <row r="20" spans="1:12" s="64" customFormat="1" ht="14.25" x14ac:dyDescent="0.45">
      <c r="A20" s="64" t="s">
        <v>1</v>
      </c>
      <c r="B20" s="114">
        <f>C20</f>
        <v>80</v>
      </c>
      <c r="C20" s="107">
        <v>80</v>
      </c>
      <c r="D20" s="79"/>
      <c r="E20" s="79"/>
      <c r="F20" s="107"/>
      <c r="G20" s="79"/>
      <c r="H20" s="77"/>
      <c r="I20" s="76"/>
      <c r="J20" s="77"/>
      <c r="K20" s="76"/>
      <c r="L20" s="77"/>
    </row>
    <row r="21" spans="1:12" s="64" customFormat="1" ht="14.25" x14ac:dyDescent="0.45">
      <c r="A21" s="64" t="s">
        <v>2</v>
      </c>
      <c r="B21" s="76">
        <v>4000000</v>
      </c>
      <c r="C21" s="77">
        <v>6000000</v>
      </c>
      <c r="D21" s="80"/>
      <c r="E21" s="80"/>
      <c r="F21" s="108"/>
      <c r="G21" s="80"/>
      <c r="H21" s="77"/>
      <c r="I21" s="76"/>
      <c r="J21" s="77"/>
      <c r="K21" s="76"/>
      <c r="L21" s="77"/>
    </row>
    <row r="22" spans="1:12" s="64" customFormat="1" ht="14.25" x14ac:dyDescent="0.45">
      <c r="A22" s="64" t="s">
        <v>3</v>
      </c>
      <c r="B22" s="76">
        <f>B21/C20</f>
        <v>50000</v>
      </c>
      <c r="C22" s="77">
        <f>C21/C20</f>
        <v>75000</v>
      </c>
      <c r="D22" s="80"/>
      <c r="E22" s="80"/>
      <c r="F22" s="108"/>
      <c r="G22" s="80"/>
      <c r="H22" s="77"/>
      <c r="I22" s="76"/>
      <c r="J22" s="77"/>
      <c r="K22" s="76"/>
      <c r="L22" s="77"/>
    </row>
    <row r="23" spans="1:12" s="64" customFormat="1" ht="14.25" x14ac:dyDescent="0.45">
      <c r="A23" s="64" t="s">
        <v>8</v>
      </c>
      <c r="B23" s="76">
        <f>B22/(700*1.15)</f>
        <v>62.111801242236034</v>
      </c>
      <c r="C23" s="77">
        <f>C22/(700*1.15)</f>
        <v>93.167701863354054</v>
      </c>
      <c r="D23" s="80"/>
      <c r="E23" s="80"/>
      <c r="F23" s="108"/>
      <c r="G23" s="80"/>
      <c r="H23" s="77"/>
      <c r="I23" s="76"/>
      <c r="J23" s="77"/>
      <c r="K23" s="76"/>
      <c r="L23" s="77"/>
    </row>
    <row r="24" spans="1:12" s="64" customFormat="1" x14ac:dyDescent="0.25">
      <c r="A24" s="73" t="s">
        <v>58</v>
      </c>
      <c r="B24" s="74"/>
      <c r="C24" s="75"/>
      <c r="D24" s="74">
        <f>D19/$C19</f>
        <v>10100</v>
      </c>
      <c r="E24" s="74"/>
      <c r="F24" s="75"/>
      <c r="G24" s="74">
        <f t="shared" ref="G24:L24" si="2">G19/$C19</f>
        <v>5000</v>
      </c>
      <c r="H24" s="75">
        <f t="shared" si="2"/>
        <v>7500</v>
      </c>
      <c r="I24" s="74">
        <f t="shared" si="2"/>
        <v>10000</v>
      </c>
      <c r="J24" s="75">
        <f t="shared" si="2"/>
        <v>15000</v>
      </c>
      <c r="K24" s="74">
        <f t="shared" si="2"/>
        <v>15000</v>
      </c>
      <c r="L24" s="75">
        <f t="shared" si="2"/>
        <v>22500</v>
      </c>
    </row>
    <row r="25" spans="1:12" s="64" customFormat="1" x14ac:dyDescent="0.25">
      <c r="B25" s="76"/>
      <c r="C25" s="77"/>
      <c r="D25" s="76"/>
      <c r="E25" s="76"/>
      <c r="F25" s="77"/>
      <c r="G25" s="76"/>
      <c r="H25" s="77"/>
      <c r="I25" s="76"/>
      <c r="J25" s="77"/>
      <c r="K25" s="76"/>
      <c r="L25" s="77"/>
    </row>
    <row r="26" spans="1:12" x14ac:dyDescent="0.25">
      <c r="A26" s="5" t="str">
        <f>"Total "&amp;A3</f>
        <v>Total Condos/Apartments</v>
      </c>
      <c r="B26" s="115">
        <f t="shared" ref="B26:C26" si="3">B5+B12+B19</f>
        <v>14200</v>
      </c>
      <c r="C26" s="116">
        <f t="shared" si="3"/>
        <v>14200</v>
      </c>
      <c r="D26" s="42">
        <f t="shared" ref="D26:L26" si="4">D5+D12+D19</f>
        <v>143420000</v>
      </c>
      <c r="E26" s="42"/>
      <c r="F26" s="43"/>
      <c r="G26" s="42">
        <f t="shared" si="4"/>
        <v>47654000</v>
      </c>
      <c r="H26" s="43">
        <f t="shared" si="4"/>
        <v>67931000</v>
      </c>
      <c r="I26" s="42">
        <f t="shared" si="4"/>
        <v>95309000</v>
      </c>
      <c r="J26" s="43">
        <f t="shared" si="4"/>
        <v>135863000</v>
      </c>
      <c r="K26" s="42">
        <f t="shared" si="4"/>
        <v>142963000</v>
      </c>
      <c r="L26" s="43">
        <f t="shared" si="4"/>
        <v>203794000</v>
      </c>
    </row>
    <row r="27" spans="1:12" ht="14.25" x14ac:dyDescent="0.45">
      <c r="B27" s="37"/>
      <c r="C27" s="39"/>
      <c r="D27" s="37"/>
      <c r="E27" s="37"/>
      <c r="F27" s="39"/>
      <c r="G27" s="37"/>
      <c r="H27" s="39"/>
      <c r="I27" s="37"/>
      <c r="J27" s="39"/>
      <c r="K27" s="37"/>
      <c r="L27" s="39"/>
    </row>
    <row r="28" spans="1:12" x14ac:dyDescent="0.25">
      <c r="A28" s="10" t="s">
        <v>10</v>
      </c>
      <c r="B28" s="34" t="str">
        <f t="shared" ref="B28:L28" si="5">B3</f>
        <v>Lower</v>
      </c>
      <c r="C28" s="38" t="str">
        <f t="shared" si="5"/>
        <v>Upper</v>
      </c>
      <c r="D28" s="44" t="str">
        <f t="shared" si="5"/>
        <v>Current Approach: CIL Rate</v>
      </c>
      <c r="E28" s="44"/>
      <c r="F28" s="38"/>
      <c r="G28" s="44" t="str">
        <f t="shared" si="5"/>
        <v>10% - Lower</v>
      </c>
      <c r="H28" s="38" t="str">
        <f t="shared" si="5"/>
        <v>10% - Upper</v>
      </c>
      <c r="I28" s="44" t="str">
        <f t="shared" si="5"/>
        <v>20% - Lower</v>
      </c>
      <c r="J28" s="38" t="str">
        <f t="shared" si="5"/>
        <v>20% - Upper</v>
      </c>
      <c r="K28" s="44" t="str">
        <f t="shared" si="5"/>
        <v>30% - Lower</v>
      </c>
      <c r="L28" s="38" t="str">
        <f t="shared" si="5"/>
        <v>30% - Upper</v>
      </c>
    </row>
    <row r="29" spans="1:12" x14ac:dyDescent="0.25">
      <c r="A29" s="3" t="s">
        <v>6</v>
      </c>
      <c r="B29" s="112"/>
      <c r="C29" s="47"/>
      <c r="D29" s="35"/>
      <c r="E29" s="35"/>
      <c r="F29" s="47"/>
      <c r="G29" s="35"/>
      <c r="H29" s="47"/>
      <c r="I29" s="35"/>
      <c r="J29" s="47"/>
      <c r="K29" s="35"/>
      <c r="L29" s="47"/>
    </row>
    <row r="30" spans="1:12" x14ac:dyDescent="0.25">
      <c r="A30" t="s">
        <v>0</v>
      </c>
      <c r="B30" s="113">
        <v>340</v>
      </c>
      <c r="C30" s="107">
        <v>340</v>
      </c>
      <c r="D30" s="36">
        <f>ROUND($C30*D$2,-3)</f>
        <v>3434000</v>
      </c>
      <c r="E30" s="36"/>
      <c r="F30" s="40"/>
      <c r="G30" s="36">
        <f>ROUND($C30/$C31*$B32*H$2,-3)</f>
        <v>3022000</v>
      </c>
      <c r="H30" s="40">
        <f>ROUND($C30/$C31*$C32*H$2,-3)</f>
        <v>4533000</v>
      </c>
      <c r="I30" s="36">
        <f>ROUND($C30/$C31*$B32*J$2,-3)</f>
        <v>6044000</v>
      </c>
      <c r="J30" s="40">
        <f>ROUND($C30/$C31*$C32*J$2,-3)</f>
        <v>9067000</v>
      </c>
      <c r="K30" s="36">
        <f>ROUND($C30/$C31*$B32*L$2,-3)</f>
        <v>9067000</v>
      </c>
      <c r="L30" s="40">
        <f>ROUND($C30/$C31*$C32*L$2,-3)</f>
        <v>13600000</v>
      </c>
    </row>
    <row r="31" spans="1:12" x14ac:dyDescent="0.25">
      <c r="A31" t="s">
        <v>1</v>
      </c>
      <c r="B31" s="113">
        <f>C31</f>
        <v>45</v>
      </c>
      <c r="C31" s="47">
        <v>45</v>
      </c>
      <c r="D31" s="92"/>
      <c r="E31" s="92"/>
      <c r="F31" s="100"/>
      <c r="G31" s="92"/>
      <c r="H31" s="47"/>
      <c r="I31" s="35"/>
      <c r="J31" s="47"/>
      <c r="K31" s="35"/>
      <c r="L31" s="47"/>
    </row>
    <row r="32" spans="1:12" x14ac:dyDescent="0.25">
      <c r="A32" t="s">
        <v>2</v>
      </c>
      <c r="B32" s="36">
        <v>4000000</v>
      </c>
      <c r="C32" s="40">
        <v>6000000</v>
      </c>
      <c r="D32" s="36"/>
      <c r="E32" s="36"/>
      <c r="F32" s="40"/>
      <c r="G32" s="36"/>
      <c r="H32" s="47"/>
      <c r="I32" s="35"/>
      <c r="J32" s="47"/>
      <c r="K32" s="35"/>
      <c r="L32" s="47"/>
    </row>
    <row r="33" spans="1:12" ht="14.25" x14ac:dyDescent="0.45">
      <c r="A33" t="s">
        <v>3</v>
      </c>
      <c r="B33" s="36">
        <f>B32/C31</f>
        <v>88888.888888888891</v>
      </c>
      <c r="C33" s="40">
        <f>C32/C31</f>
        <v>133333.33333333334</v>
      </c>
      <c r="D33" s="35"/>
      <c r="E33" s="35"/>
      <c r="F33" s="47"/>
      <c r="G33" s="35"/>
      <c r="H33" s="40"/>
      <c r="I33" s="36"/>
      <c r="J33" s="40"/>
      <c r="K33" s="36"/>
      <c r="L33" s="40"/>
    </row>
    <row r="34" spans="1:12" x14ac:dyDescent="0.25">
      <c r="A34" s="73" t="s">
        <v>58</v>
      </c>
      <c r="B34" s="74"/>
      <c r="C34" s="75"/>
      <c r="D34" s="74">
        <f>D30/$C30</f>
        <v>10100</v>
      </c>
      <c r="E34" s="74"/>
      <c r="F34" s="75"/>
      <c r="G34" s="74">
        <f t="shared" ref="G34:L34" si="6">G30/$C30</f>
        <v>8888.2352941176468</v>
      </c>
      <c r="H34" s="75">
        <f t="shared" si="6"/>
        <v>13332.35294117647</v>
      </c>
      <c r="I34" s="74">
        <f t="shared" si="6"/>
        <v>17776.470588235294</v>
      </c>
      <c r="J34" s="75">
        <f t="shared" si="6"/>
        <v>26667.647058823528</v>
      </c>
      <c r="K34" s="74">
        <f t="shared" si="6"/>
        <v>26667.647058823528</v>
      </c>
      <c r="L34" s="75">
        <f t="shared" si="6"/>
        <v>40000</v>
      </c>
    </row>
    <row r="35" spans="1:12" x14ac:dyDescent="0.25">
      <c r="A35" s="3" t="s">
        <v>7</v>
      </c>
      <c r="B35" s="36"/>
      <c r="C35" s="47"/>
      <c r="D35" s="35"/>
      <c r="E35" s="35"/>
      <c r="F35" s="47"/>
      <c r="G35" s="35"/>
      <c r="H35" s="47"/>
      <c r="I35" s="35"/>
      <c r="J35" s="47"/>
      <c r="K35" s="35"/>
      <c r="L35" s="47"/>
    </row>
    <row r="36" spans="1:12" x14ac:dyDescent="0.25">
      <c r="A36" t="s">
        <v>0</v>
      </c>
      <c r="B36" s="113">
        <v>540</v>
      </c>
      <c r="C36" s="107">
        <v>540</v>
      </c>
      <c r="D36" s="36">
        <f>ROUND($C36*D$2,-3)</f>
        <v>5454000</v>
      </c>
      <c r="E36" s="36"/>
      <c r="F36" s="40"/>
      <c r="G36" s="36">
        <f>ROUND($C36/$C37*$B38*H$2,-3)</f>
        <v>4800000</v>
      </c>
      <c r="H36" s="40">
        <f>ROUND($C36/$C37*$C38*H$2,-3)</f>
        <v>7200000</v>
      </c>
      <c r="I36" s="36">
        <f>ROUND($C36/$C37*$B38*J$2,-3)</f>
        <v>9600000</v>
      </c>
      <c r="J36" s="40">
        <f>ROUND($C36/$C37*$C38*J$2,-3)</f>
        <v>14400000</v>
      </c>
      <c r="K36" s="36">
        <f>ROUND($C36/$C37*$B38*L$2,-3)</f>
        <v>14400000</v>
      </c>
      <c r="L36" s="40">
        <f>ROUND($C36/$C37*$C38*L$2,-3)</f>
        <v>21600000</v>
      </c>
    </row>
    <row r="37" spans="1:12" x14ac:dyDescent="0.25">
      <c r="A37" t="s">
        <v>1</v>
      </c>
      <c r="B37" s="113">
        <f>C37</f>
        <v>45</v>
      </c>
      <c r="C37" s="47">
        <v>45</v>
      </c>
      <c r="D37" s="35"/>
      <c r="E37" s="35"/>
      <c r="F37" s="47"/>
      <c r="G37" s="35"/>
      <c r="H37" s="47"/>
      <c r="I37" s="35"/>
      <c r="J37" s="47"/>
      <c r="K37" s="35"/>
      <c r="L37" s="47"/>
    </row>
    <row r="38" spans="1:12" x14ac:dyDescent="0.25">
      <c r="A38" t="s">
        <v>2</v>
      </c>
      <c r="B38" s="36">
        <v>4000000</v>
      </c>
      <c r="C38" s="40">
        <v>6000000</v>
      </c>
      <c r="D38" s="92"/>
      <c r="E38" s="92"/>
      <c r="F38" s="100"/>
      <c r="G38" s="92"/>
      <c r="H38" s="47"/>
      <c r="I38" s="35"/>
      <c r="J38" s="47"/>
      <c r="K38" s="35"/>
      <c r="L38" s="47"/>
    </row>
    <row r="39" spans="1:12" x14ac:dyDescent="0.25">
      <c r="A39" t="s">
        <v>3</v>
      </c>
      <c r="B39" s="36">
        <f>B38/C37</f>
        <v>88888.888888888891</v>
      </c>
      <c r="C39" s="40">
        <f>C38/C37</f>
        <v>133333.33333333334</v>
      </c>
      <c r="D39" s="92"/>
      <c r="E39" s="92"/>
      <c r="F39" s="100"/>
      <c r="G39" s="92"/>
      <c r="H39" s="40"/>
      <c r="I39" s="36"/>
      <c r="J39" s="40"/>
      <c r="K39" s="36"/>
      <c r="L39" s="40"/>
    </row>
    <row r="40" spans="1:12" x14ac:dyDescent="0.25">
      <c r="A40" s="73" t="s">
        <v>58</v>
      </c>
      <c r="B40" s="74"/>
      <c r="C40" s="75"/>
      <c r="D40" s="74">
        <f>D36/$C36</f>
        <v>10100</v>
      </c>
      <c r="E40" s="74"/>
      <c r="F40" s="75"/>
      <c r="G40" s="74">
        <f t="shared" ref="G40:L40" si="7">G36/$C36</f>
        <v>8888.8888888888887</v>
      </c>
      <c r="H40" s="75">
        <f t="shared" si="7"/>
        <v>13333.333333333334</v>
      </c>
      <c r="I40" s="74">
        <f t="shared" si="7"/>
        <v>17777.777777777777</v>
      </c>
      <c r="J40" s="75">
        <f t="shared" si="7"/>
        <v>26666.666666666668</v>
      </c>
      <c r="K40" s="74">
        <f t="shared" si="7"/>
        <v>26666.666666666668</v>
      </c>
      <c r="L40" s="75">
        <f t="shared" si="7"/>
        <v>40000</v>
      </c>
    </row>
    <row r="41" spans="1:12" x14ac:dyDescent="0.25">
      <c r="A41" s="3" t="s">
        <v>11</v>
      </c>
      <c r="B41" s="36"/>
      <c r="C41" s="47"/>
      <c r="D41" s="35"/>
      <c r="E41" s="35"/>
      <c r="F41" s="47"/>
      <c r="G41" s="35"/>
      <c r="H41" s="48"/>
      <c r="I41" s="50"/>
      <c r="J41" s="39"/>
      <c r="K41" s="50"/>
      <c r="L41" s="39"/>
    </row>
    <row r="42" spans="1:12" x14ac:dyDescent="0.25">
      <c r="A42" t="s">
        <v>0</v>
      </c>
      <c r="B42" s="113">
        <v>1530</v>
      </c>
      <c r="C42" s="107">
        <v>1530</v>
      </c>
      <c r="D42" s="36">
        <f>ROUND($C42*D$2,-3)</f>
        <v>15453000</v>
      </c>
      <c r="E42" s="36"/>
      <c r="F42" s="40"/>
      <c r="G42" s="36">
        <f>ROUND($C42/$C43*$B44*H$2,-3)</f>
        <v>20400000</v>
      </c>
      <c r="H42" s="40">
        <f>ROUND($C42/$C43*$C44*H$2,-3)</f>
        <v>30600000</v>
      </c>
      <c r="I42" s="36">
        <f>ROUND($C42/$C43*$B44*J$2,-3)</f>
        <v>40800000</v>
      </c>
      <c r="J42" s="40">
        <f>ROUND($C42/$C43*$C44*J$2,-3)</f>
        <v>61200000</v>
      </c>
      <c r="K42" s="36">
        <f>ROUND($C42/$C43*$B44*L$2,-3)</f>
        <v>61200000</v>
      </c>
      <c r="L42" s="40">
        <f>ROUND($C42/$C43*$C44*L$2,-3)</f>
        <v>91800000</v>
      </c>
    </row>
    <row r="43" spans="1:12" x14ac:dyDescent="0.25">
      <c r="A43" t="s">
        <v>1</v>
      </c>
      <c r="B43" s="113">
        <f>C43</f>
        <v>30</v>
      </c>
      <c r="C43" s="47">
        <v>30</v>
      </c>
      <c r="D43" s="35"/>
      <c r="E43" s="35"/>
      <c r="F43" s="47"/>
      <c r="G43" s="35"/>
      <c r="H43" s="39"/>
      <c r="I43" s="37"/>
      <c r="J43" s="39"/>
      <c r="K43" s="37"/>
      <c r="L43" s="39"/>
    </row>
    <row r="44" spans="1:12" x14ac:dyDescent="0.25">
      <c r="A44" t="s">
        <v>2</v>
      </c>
      <c r="B44" s="36">
        <v>4000000</v>
      </c>
      <c r="C44" s="40">
        <v>6000000</v>
      </c>
      <c r="D44" s="92"/>
      <c r="E44" s="92"/>
      <c r="F44" s="100"/>
      <c r="G44" s="92"/>
      <c r="H44" s="39"/>
      <c r="I44" s="37"/>
      <c r="J44" s="39"/>
      <c r="K44" s="37"/>
      <c r="L44" s="39"/>
    </row>
    <row r="45" spans="1:12" x14ac:dyDescent="0.25">
      <c r="A45" t="s">
        <v>3</v>
      </c>
      <c r="B45" s="36">
        <f>B44/C43</f>
        <v>133333.33333333334</v>
      </c>
      <c r="C45" s="40">
        <f>C44/C43</f>
        <v>200000</v>
      </c>
      <c r="D45" s="92"/>
      <c r="E45" s="92"/>
      <c r="F45" s="100"/>
      <c r="G45" s="92"/>
      <c r="H45" s="40"/>
      <c r="I45" s="36"/>
      <c r="J45" s="40"/>
      <c r="K45" s="36"/>
      <c r="L45" s="40"/>
    </row>
    <row r="46" spans="1:12" x14ac:dyDescent="0.25">
      <c r="A46" s="73" t="s">
        <v>58</v>
      </c>
      <c r="B46" s="74"/>
      <c r="C46" s="75"/>
      <c r="D46" s="74">
        <f>D42/$C42</f>
        <v>10100</v>
      </c>
      <c r="E46" s="74"/>
      <c r="F46" s="75"/>
      <c r="G46" s="74">
        <f t="shared" ref="G46:L46" si="8">G42/$C42</f>
        <v>13333.333333333334</v>
      </c>
      <c r="H46" s="75">
        <f t="shared" si="8"/>
        <v>20000</v>
      </c>
      <c r="I46" s="74">
        <f t="shared" si="8"/>
        <v>26666.666666666668</v>
      </c>
      <c r="J46" s="75">
        <f t="shared" si="8"/>
        <v>40000</v>
      </c>
      <c r="K46" s="74">
        <f t="shared" si="8"/>
        <v>40000</v>
      </c>
      <c r="L46" s="75">
        <f t="shared" si="8"/>
        <v>60000</v>
      </c>
    </row>
    <row r="47" spans="1:12" s="64" customFormat="1" x14ac:dyDescent="0.25">
      <c r="B47" s="76"/>
      <c r="C47" s="77"/>
      <c r="D47" s="76"/>
      <c r="E47" s="76"/>
      <c r="F47" s="77"/>
      <c r="G47" s="76"/>
      <c r="H47" s="77"/>
      <c r="I47" s="76"/>
      <c r="J47" s="77"/>
      <c r="K47" s="76"/>
      <c r="L47" s="77"/>
    </row>
    <row r="48" spans="1:12" x14ac:dyDescent="0.25">
      <c r="A48" s="5" t="str">
        <f>"Total "&amp;A28</f>
        <v>Total Rows, Stacked, Back-to-Back</v>
      </c>
      <c r="B48" s="115">
        <f t="shared" ref="B48:J48" si="9">B30+B36+B42</f>
        <v>2410</v>
      </c>
      <c r="C48" s="116">
        <f t="shared" si="9"/>
        <v>2410</v>
      </c>
      <c r="D48" s="42">
        <f t="shared" si="9"/>
        <v>24341000</v>
      </c>
      <c r="E48" s="42"/>
      <c r="F48" s="43"/>
      <c r="G48" s="45">
        <f t="shared" si="9"/>
        <v>28222000</v>
      </c>
      <c r="H48" s="43">
        <f t="shared" si="9"/>
        <v>42333000</v>
      </c>
      <c r="I48" s="45">
        <f t="shared" si="9"/>
        <v>56444000</v>
      </c>
      <c r="J48" s="43">
        <f t="shared" si="9"/>
        <v>84667000</v>
      </c>
      <c r="K48" s="45">
        <f t="shared" ref="K48:L48" si="10">K30+K36+K42</f>
        <v>84667000</v>
      </c>
      <c r="L48" s="43">
        <f t="shared" si="10"/>
        <v>127000000</v>
      </c>
    </row>
    <row r="49" spans="1:12" s="64" customFormat="1" x14ac:dyDescent="0.25">
      <c r="A49" s="60"/>
      <c r="B49" s="117"/>
      <c r="C49" s="118"/>
      <c r="D49" s="61"/>
      <c r="E49" s="61"/>
      <c r="F49" s="62"/>
      <c r="G49" s="61"/>
      <c r="H49" s="62"/>
      <c r="I49" s="61"/>
      <c r="J49" s="62"/>
      <c r="K49" s="61"/>
      <c r="L49" s="62"/>
    </row>
    <row r="50" spans="1:12" s="64" customFormat="1" x14ac:dyDescent="0.25">
      <c r="A50" s="60" t="s">
        <v>47</v>
      </c>
      <c r="B50" s="117"/>
      <c r="C50" s="118"/>
      <c r="D50" s="36">
        <f>ROUND(3000000*10,-3)</f>
        <v>30000000</v>
      </c>
      <c r="E50" s="36"/>
      <c r="F50" s="40"/>
      <c r="G50" s="61"/>
      <c r="H50" s="62"/>
      <c r="I50" s="61"/>
      <c r="J50" s="62"/>
      <c r="K50" s="61"/>
      <c r="L50" s="62"/>
    </row>
    <row r="51" spans="1:12" s="64" customFormat="1" x14ac:dyDescent="0.25">
      <c r="A51" s="60" t="s">
        <v>63</v>
      </c>
      <c r="B51" s="117"/>
      <c r="C51" s="118"/>
      <c r="D51" s="36">
        <v>1000000</v>
      </c>
      <c r="E51" s="36"/>
      <c r="F51" s="40"/>
      <c r="G51" s="61"/>
      <c r="H51" s="62"/>
      <c r="I51" s="61"/>
      <c r="J51" s="62"/>
      <c r="K51" s="61"/>
      <c r="L51" s="62"/>
    </row>
    <row r="52" spans="1:12" ht="13.5" customHeight="1" x14ac:dyDescent="0.25">
      <c r="A52" s="9" t="s">
        <v>48</v>
      </c>
      <c r="B52" s="119">
        <f>B48+B26</f>
        <v>16610</v>
      </c>
      <c r="C52" s="120">
        <f>C48+C26</f>
        <v>16610</v>
      </c>
      <c r="D52" s="93">
        <f>D48+D26+D50+D51</f>
        <v>198761000</v>
      </c>
      <c r="E52" s="93"/>
      <c r="F52" s="49"/>
      <c r="G52" s="46">
        <f t="shared" ref="G52:L52" si="11">G48+G26</f>
        <v>75876000</v>
      </c>
      <c r="H52" s="49">
        <f t="shared" si="11"/>
        <v>110264000</v>
      </c>
      <c r="I52" s="46">
        <f t="shared" si="11"/>
        <v>151753000</v>
      </c>
      <c r="J52" s="49">
        <f t="shared" si="11"/>
        <v>220530000</v>
      </c>
      <c r="K52" s="46">
        <f t="shared" si="11"/>
        <v>227630000</v>
      </c>
      <c r="L52" s="49">
        <f t="shared" si="11"/>
        <v>330794000</v>
      </c>
    </row>
    <row r="53" spans="1:12" ht="14.25" x14ac:dyDescent="0.45">
      <c r="B53" s="37"/>
      <c r="C53" s="39"/>
      <c r="D53" s="37"/>
      <c r="E53" s="37"/>
      <c r="F53" s="39"/>
      <c r="G53" s="37"/>
      <c r="H53" s="39"/>
      <c r="I53" s="37"/>
      <c r="J53" s="39"/>
      <c r="K53" s="37"/>
      <c r="L53" s="39"/>
    </row>
    <row r="54" spans="1:12" x14ac:dyDescent="0.25">
      <c r="A54" s="10" t="s">
        <v>38</v>
      </c>
      <c r="B54" s="94" t="str">
        <f>B28</f>
        <v>Lower</v>
      </c>
      <c r="C54" s="101" t="str">
        <f>C28</f>
        <v>Upper</v>
      </c>
      <c r="D54" s="94" t="s">
        <v>46</v>
      </c>
      <c r="E54" s="94" t="s">
        <v>64</v>
      </c>
      <c r="F54" s="101" t="s">
        <v>65</v>
      </c>
      <c r="G54" s="94" t="str">
        <f t="shared" ref="G54:L54" si="12">G28</f>
        <v>10% - Lower</v>
      </c>
      <c r="H54" s="101" t="str">
        <f t="shared" si="12"/>
        <v>10% - Upper</v>
      </c>
      <c r="I54" s="94" t="str">
        <f t="shared" si="12"/>
        <v>20% - Lower</v>
      </c>
      <c r="J54" s="101" t="str">
        <f t="shared" si="12"/>
        <v>20% - Upper</v>
      </c>
      <c r="K54" s="94" t="str">
        <f t="shared" si="12"/>
        <v>30% - Lower</v>
      </c>
      <c r="L54" s="101" t="str">
        <f t="shared" si="12"/>
        <v>30% - Upper</v>
      </c>
    </row>
    <row r="55" spans="1:12" x14ac:dyDescent="0.25">
      <c r="A55" s="3" t="s">
        <v>13</v>
      </c>
      <c r="B55" s="112"/>
      <c r="C55" s="121"/>
      <c r="D55" s="95"/>
      <c r="E55" s="95"/>
      <c r="F55" s="52"/>
      <c r="G55" s="95"/>
      <c r="H55" s="52"/>
      <c r="I55" s="95"/>
      <c r="J55" s="52"/>
      <c r="K55" s="95"/>
      <c r="L55" s="52"/>
    </row>
    <row r="56" spans="1:12" x14ac:dyDescent="0.25">
      <c r="A56" s="8" t="s">
        <v>0</v>
      </c>
      <c r="B56" s="113">
        <v>220</v>
      </c>
      <c r="C56" s="107">
        <v>220</v>
      </c>
      <c r="D56" s="37"/>
      <c r="E56" s="37"/>
      <c r="F56" s="39"/>
      <c r="G56" s="37"/>
      <c r="H56" s="39"/>
      <c r="I56" s="37"/>
      <c r="J56" s="39"/>
      <c r="K56" s="37"/>
      <c r="L56" s="39"/>
    </row>
    <row r="57" spans="1:12" x14ac:dyDescent="0.25">
      <c r="A57" s="8" t="s">
        <v>54</v>
      </c>
      <c r="B57" s="36">
        <f>12000*42</f>
        <v>504000</v>
      </c>
      <c r="C57" s="40">
        <f>15000*42</f>
        <v>630000</v>
      </c>
      <c r="D57" s="87">
        <f>0.05*AVERAGE(B57:C57)*C56</f>
        <v>6237000</v>
      </c>
      <c r="E57" s="87">
        <f>ROUND(0.05*B56*B57,-3)</f>
        <v>5544000</v>
      </c>
      <c r="F57" s="58">
        <f>ROUND(0.05*C56*C57,-3)</f>
        <v>6930000</v>
      </c>
      <c r="G57" s="87">
        <f>G$2*$B57*$B56</f>
        <v>11088000</v>
      </c>
      <c r="H57" s="58">
        <f>H$2*$C57*$C56</f>
        <v>13860000</v>
      </c>
      <c r="I57" s="87">
        <f>I$2*$B57*$B56</f>
        <v>22176000</v>
      </c>
      <c r="J57" s="58">
        <f>J$2*$C57*$C56</f>
        <v>27720000</v>
      </c>
      <c r="K57" s="87">
        <f>K$2*$B57*$B56</f>
        <v>33264000</v>
      </c>
      <c r="L57" s="58">
        <f>L$2*$C57*$C56</f>
        <v>41580000</v>
      </c>
    </row>
    <row r="58" spans="1:12" x14ac:dyDescent="0.25">
      <c r="A58" s="73" t="s">
        <v>58</v>
      </c>
      <c r="B58" s="74"/>
      <c r="C58" s="75"/>
      <c r="D58" s="74">
        <f>D57/$C56</f>
        <v>28350</v>
      </c>
      <c r="E58" s="74">
        <f t="shared" ref="E58:F58" si="13">E57/$C56</f>
        <v>25200</v>
      </c>
      <c r="F58" s="75">
        <f t="shared" si="13"/>
        <v>31500</v>
      </c>
      <c r="G58" s="74">
        <f t="shared" ref="G58:L58" si="14">G57/$C56</f>
        <v>50400</v>
      </c>
      <c r="H58" s="75">
        <f t="shared" si="14"/>
        <v>63000</v>
      </c>
      <c r="I58" s="74">
        <f t="shared" si="14"/>
        <v>100800</v>
      </c>
      <c r="J58" s="75">
        <f t="shared" si="14"/>
        <v>126000</v>
      </c>
      <c r="K58" s="74">
        <f t="shared" si="14"/>
        <v>151200</v>
      </c>
      <c r="L58" s="75">
        <f t="shared" si="14"/>
        <v>189000</v>
      </c>
    </row>
    <row r="59" spans="1:12" x14ac:dyDescent="0.25">
      <c r="A59" s="8"/>
      <c r="B59" s="36"/>
      <c r="C59" s="122"/>
      <c r="D59" s="96"/>
      <c r="E59" s="96"/>
      <c r="F59" s="102"/>
      <c r="G59" s="96"/>
      <c r="H59" s="59"/>
      <c r="I59" s="150"/>
      <c r="J59" s="59"/>
      <c r="K59" s="150"/>
      <c r="L59" s="59"/>
    </row>
    <row r="60" spans="1:12" x14ac:dyDescent="0.25">
      <c r="A60" s="3" t="s">
        <v>12</v>
      </c>
      <c r="B60" s="36"/>
      <c r="C60" s="122"/>
      <c r="D60" s="87"/>
      <c r="E60" s="87"/>
      <c r="F60" s="58"/>
      <c r="G60" s="87"/>
      <c r="H60" s="59"/>
      <c r="I60" s="150"/>
      <c r="J60" s="59"/>
      <c r="K60" s="150"/>
      <c r="L60" s="59"/>
    </row>
    <row r="61" spans="1:12" x14ac:dyDescent="0.25">
      <c r="A61" s="8" t="s">
        <v>14</v>
      </c>
      <c r="B61" s="113">
        <v>870</v>
      </c>
      <c r="C61" s="107">
        <v>870</v>
      </c>
      <c r="D61" s="87"/>
      <c r="E61" s="87"/>
      <c r="F61" s="58"/>
      <c r="G61" s="87"/>
      <c r="H61" s="59"/>
      <c r="I61" s="150"/>
      <c r="J61" s="59"/>
      <c r="K61" s="150"/>
      <c r="L61" s="59"/>
    </row>
    <row r="62" spans="1:12" x14ac:dyDescent="0.25">
      <c r="A62" s="8" t="s">
        <v>55</v>
      </c>
      <c r="B62" s="36">
        <f>C57</f>
        <v>630000</v>
      </c>
      <c r="C62" s="40">
        <f>26000*42</f>
        <v>1092000</v>
      </c>
      <c r="D62" s="87">
        <f>ROUND(0.05*AVERAGE(B62:C62)*C61,-3)</f>
        <v>37454000</v>
      </c>
      <c r="E62" s="87">
        <f>ROUND(0.05*B61*B62,-3)</f>
        <v>27405000</v>
      </c>
      <c r="F62" s="58">
        <f>ROUND(0.05*C61*C62,-3)</f>
        <v>47502000</v>
      </c>
      <c r="G62" s="87">
        <f>G$2*$B62*$B61</f>
        <v>54810000</v>
      </c>
      <c r="H62" s="58">
        <f>H$2*$C62*$C61</f>
        <v>95004000</v>
      </c>
      <c r="I62" s="87">
        <f>I$2*$B62*$B61</f>
        <v>109620000</v>
      </c>
      <c r="J62" s="58">
        <f>J$2*$C62*$C61</f>
        <v>190008000</v>
      </c>
      <c r="K62" s="87">
        <f>K$2*$B62*$B61</f>
        <v>164430000</v>
      </c>
      <c r="L62" s="58">
        <f>L$2*$C62*$C61</f>
        <v>285012000</v>
      </c>
    </row>
    <row r="63" spans="1:12" x14ac:dyDescent="0.25">
      <c r="A63" s="73" t="s">
        <v>58</v>
      </c>
      <c r="B63" s="74"/>
      <c r="C63" s="75"/>
      <c r="D63" s="74">
        <f>D62/$C61</f>
        <v>43050.574712643676</v>
      </c>
      <c r="E63" s="74">
        <f t="shared" ref="E63:F63" si="15">E62/$C61</f>
        <v>31500</v>
      </c>
      <c r="F63" s="75">
        <f t="shared" si="15"/>
        <v>54600</v>
      </c>
      <c r="G63" s="74">
        <f t="shared" ref="G63" si="16">G62/$C61</f>
        <v>63000</v>
      </c>
      <c r="H63" s="75">
        <f t="shared" ref="H63" si="17">H62/$C61</f>
        <v>109200</v>
      </c>
      <c r="I63" s="74">
        <f t="shared" ref="I63" si="18">I62/$C61</f>
        <v>126000</v>
      </c>
      <c r="J63" s="75">
        <f t="shared" ref="J63" si="19">J62/$C61</f>
        <v>218400</v>
      </c>
      <c r="K63" s="74">
        <f t="shared" ref="K63" si="20">K62/$C61</f>
        <v>189000</v>
      </c>
      <c r="L63" s="75">
        <f t="shared" ref="L63" si="21">L62/$C61</f>
        <v>327600</v>
      </c>
    </row>
    <row r="64" spans="1:12" s="64" customFormat="1" x14ac:dyDescent="0.25">
      <c r="B64" s="76"/>
      <c r="C64" s="77"/>
      <c r="D64" s="76"/>
      <c r="E64" s="76"/>
      <c r="F64" s="77"/>
      <c r="G64" s="76"/>
      <c r="H64" s="77"/>
      <c r="I64" s="76"/>
      <c r="J64" s="77"/>
      <c r="K64" s="76"/>
      <c r="L64" s="77"/>
    </row>
    <row r="65" spans="1:12" x14ac:dyDescent="0.25">
      <c r="A65" s="4" t="s">
        <v>15</v>
      </c>
      <c r="B65" s="123">
        <f>B56+B61</f>
        <v>1090</v>
      </c>
      <c r="C65" s="124">
        <f>C56+C61</f>
        <v>1090</v>
      </c>
      <c r="D65" s="97">
        <f t="shared" ref="D65:L65" si="22">D57+D62</f>
        <v>43691000</v>
      </c>
      <c r="E65" s="97">
        <f t="shared" si="22"/>
        <v>32949000</v>
      </c>
      <c r="F65" s="41">
        <f t="shared" si="22"/>
        <v>54432000</v>
      </c>
      <c r="G65" s="97">
        <f t="shared" si="22"/>
        <v>65898000</v>
      </c>
      <c r="H65" s="41">
        <f t="shared" si="22"/>
        <v>108864000</v>
      </c>
      <c r="I65" s="97">
        <f t="shared" si="22"/>
        <v>131796000</v>
      </c>
      <c r="J65" s="41">
        <f t="shared" si="22"/>
        <v>217728000</v>
      </c>
      <c r="K65" s="97">
        <f t="shared" si="22"/>
        <v>197694000</v>
      </c>
      <c r="L65" s="41">
        <f t="shared" si="22"/>
        <v>326592000</v>
      </c>
    </row>
    <row r="66" spans="1:12" x14ac:dyDescent="0.25">
      <c r="B66" s="37"/>
      <c r="C66" s="39"/>
      <c r="D66" s="37"/>
      <c r="E66" s="37"/>
      <c r="F66" s="39"/>
      <c r="G66" s="37"/>
      <c r="H66" s="39"/>
      <c r="I66" s="37"/>
      <c r="J66" s="39"/>
      <c r="K66" s="37"/>
      <c r="L66" s="39"/>
    </row>
    <row r="67" spans="1:12" x14ac:dyDescent="0.25">
      <c r="A67" s="29"/>
      <c r="B67" s="125"/>
      <c r="C67" s="126"/>
      <c r="D67" s="98"/>
      <c r="E67" s="98"/>
      <c r="F67" s="53"/>
      <c r="G67" s="98"/>
      <c r="H67" s="53"/>
      <c r="I67" s="98"/>
      <c r="J67" s="53"/>
      <c r="K67" s="98"/>
      <c r="L67" s="53"/>
    </row>
    <row r="68" spans="1:12" x14ac:dyDescent="0.25">
      <c r="A68" s="51" t="s">
        <v>49</v>
      </c>
      <c r="B68" s="127">
        <f>B52+B65</f>
        <v>17700</v>
      </c>
      <c r="C68" s="128">
        <f>C52+C65</f>
        <v>17700</v>
      </c>
      <c r="D68" s="103">
        <f t="shared" ref="D68:L68" si="23">D65+D52</f>
        <v>242452000</v>
      </c>
      <c r="E68" s="103">
        <f>E65+D52</f>
        <v>231710000</v>
      </c>
      <c r="F68" s="55">
        <f>F65+D52</f>
        <v>253193000</v>
      </c>
      <c r="G68" s="146">
        <f t="shared" si="23"/>
        <v>141774000</v>
      </c>
      <c r="H68" s="55">
        <f t="shared" si="23"/>
        <v>219128000</v>
      </c>
      <c r="I68" s="146">
        <f t="shared" si="23"/>
        <v>283549000</v>
      </c>
      <c r="J68" s="55">
        <f t="shared" si="23"/>
        <v>438258000</v>
      </c>
      <c r="K68" s="146">
        <f t="shared" si="23"/>
        <v>425324000</v>
      </c>
      <c r="L68" s="55">
        <f t="shared" si="23"/>
        <v>657386000</v>
      </c>
    </row>
    <row r="69" spans="1:12" x14ac:dyDescent="0.25">
      <c r="B69" s="37"/>
      <c r="C69" s="39"/>
      <c r="D69" s="104"/>
      <c r="E69" s="104"/>
      <c r="F69" s="105"/>
      <c r="G69" s="147"/>
      <c r="H69" s="148"/>
      <c r="I69" s="147"/>
      <c r="J69" s="148"/>
      <c r="K69" s="147"/>
      <c r="L69" s="148"/>
    </row>
    <row r="70" spans="1:12" s="64" customFormat="1" x14ac:dyDescent="0.25">
      <c r="A70" s="10" t="s">
        <v>50</v>
      </c>
      <c r="B70" s="94" t="s">
        <v>39</v>
      </c>
      <c r="C70" s="101" t="s">
        <v>40</v>
      </c>
      <c r="D70" s="94" t="s">
        <v>51</v>
      </c>
      <c r="E70" s="94" t="s">
        <v>66</v>
      </c>
      <c r="F70" s="101" t="s">
        <v>67</v>
      </c>
      <c r="G70" s="94" t="str">
        <f t="shared" ref="G70:L70" si="24">G54</f>
        <v>10% - Lower</v>
      </c>
      <c r="H70" s="101" t="str">
        <f t="shared" si="24"/>
        <v>10% - Upper</v>
      </c>
      <c r="I70" s="94" t="str">
        <f t="shared" si="24"/>
        <v>20% - Lower</v>
      </c>
      <c r="J70" s="101" t="str">
        <f t="shared" si="24"/>
        <v>20% - Upper</v>
      </c>
      <c r="K70" s="94" t="str">
        <f t="shared" si="24"/>
        <v>30% - Lower</v>
      </c>
      <c r="L70" s="101" t="str">
        <f t="shared" si="24"/>
        <v>30% - Upper</v>
      </c>
    </row>
    <row r="71" spans="1:12" ht="14.25" x14ac:dyDescent="0.45">
      <c r="A71" s="81"/>
      <c r="B71" s="86"/>
      <c r="C71" s="82"/>
      <c r="D71" s="86"/>
      <c r="E71" s="86"/>
      <c r="F71" s="82"/>
      <c r="G71" s="86"/>
      <c r="H71" s="82"/>
      <c r="I71" s="86"/>
      <c r="J71" s="82"/>
      <c r="K71" s="86"/>
      <c r="L71" s="82"/>
    </row>
    <row r="72" spans="1:12" ht="30" x14ac:dyDescent="0.25">
      <c r="A72" s="154" t="s">
        <v>68</v>
      </c>
      <c r="B72" s="113">
        <f>385779*0.6*10.7639/43560/1.5</f>
        <v>38.131189881542703</v>
      </c>
      <c r="C72" s="129">
        <f>B72</f>
        <v>38.131189881542703</v>
      </c>
      <c r="D72" s="37"/>
      <c r="E72" s="37"/>
      <c r="F72" s="39"/>
      <c r="G72" s="37"/>
      <c r="H72" s="39"/>
      <c r="I72" s="37"/>
      <c r="J72" s="39"/>
      <c r="K72" s="37"/>
      <c r="L72" s="39"/>
    </row>
    <row r="73" spans="1:12" x14ac:dyDescent="0.25">
      <c r="A73" s="155" t="s">
        <v>2</v>
      </c>
      <c r="B73" s="36">
        <v>2000000</v>
      </c>
      <c r="C73" s="40">
        <v>6000000</v>
      </c>
      <c r="D73" s="87">
        <f>ROUND(AVERAGE(B73:C73)*C72*0.05,-3)</f>
        <v>7626000</v>
      </c>
      <c r="E73" s="87">
        <f>ROUND(B73*B72*0.05,-3)</f>
        <v>3813000</v>
      </c>
      <c r="F73" s="58">
        <f>ROUND(C73*C72*0.05,-3)</f>
        <v>11439000</v>
      </c>
      <c r="G73" s="87">
        <f>ROUND(G$2*$B73*$B72,-3)</f>
        <v>7626000</v>
      </c>
      <c r="H73" s="58">
        <f>ROUND(H$2*$C73*$C72,-3)</f>
        <v>22879000</v>
      </c>
      <c r="I73" s="87">
        <f t="shared" ref="I73" si="25">ROUND(I$2*$B73*$B72,-3)</f>
        <v>15252000</v>
      </c>
      <c r="J73" s="58">
        <f>ROUND(J$2*$C73*$C72,-3)</f>
        <v>45757000</v>
      </c>
      <c r="K73" s="87">
        <f>ROUND(K$2*$B73*$B72,-3)</f>
        <v>22879000</v>
      </c>
      <c r="L73" s="58">
        <f t="shared" ref="L73" si="26">ROUND(L$2*$C73*$C72,-3)</f>
        <v>68636000</v>
      </c>
    </row>
    <row r="74" spans="1:12" x14ac:dyDescent="0.25">
      <c r="A74" s="156" t="s">
        <v>59</v>
      </c>
      <c r="B74" s="74"/>
      <c r="C74" s="75"/>
      <c r="D74" s="74">
        <f>ROUND((D73/$C72),-3)</f>
        <v>200000</v>
      </c>
      <c r="E74" s="74">
        <f t="shared" ref="E74:F74" si="27">ROUND((E73/$C72),-3)</f>
        <v>100000</v>
      </c>
      <c r="F74" s="75">
        <f t="shared" si="27"/>
        <v>300000</v>
      </c>
      <c r="G74" s="74">
        <f t="shared" ref="G74:L74" si="28">ROUND((G73/$C72),-3)</f>
        <v>200000</v>
      </c>
      <c r="H74" s="75">
        <f t="shared" si="28"/>
        <v>600000</v>
      </c>
      <c r="I74" s="74">
        <f t="shared" si="28"/>
        <v>400000</v>
      </c>
      <c r="J74" s="75">
        <f t="shared" si="28"/>
        <v>1200000</v>
      </c>
      <c r="K74" s="74">
        <f t="shared" si="28"/>
        <v>600000</v>
      </c>
      <c r="L74" s="75">
        <f t="shared" si="28"/>
        <v>1800000</v>
      </c>
    </row>
    <row r="75" spans="1:12" x14ac:dyDescent="0.25">
      <c r="A75" s="155"/>
      <c r="B75" s="37"/>
      <c r="C75" s="39"/>
      <c r="D75" s="37"/>
      <c r="E75" s="37"/>
      <c r="F75" s="39"/>
      <c r="G75" s="37"/>
      <c r="H75" s="39"/>
      <c r="I75" s="37"/>
      <c r="J75" s="39"/>
      <c r="K75" s="37"/>
      <c r="L75" s="39"/>
    </row>
    <row r="76" spans="1:12" ht="30" x14ac:dyDescent="0.25">
      <c r="A76" s="154" t="s">
        <v>69</v>
      </c>
      <c r="B76" s="113">
        <f>(174840+1078550)*0.6*10.7639/43560/0.5</f>
        <v>371.66293721763083</v>
      </c>
      <c r="C76" s="129">
        <f>B76</f>
        <v>371.66293721763083</v>
      </c>
      <c r="D76" s="37"/>
      <c r="E76" s="37"/>
      <c r="F76" s="39"/>
      <c r="G76" s="147"/>
      <c r="H76" s="148"/>
      <c r="I76" s="37"/>
      <c r="J76" s="39"/>
      <c r="K76" s="37"/>
      <c r="L76" s="39"/>
    </row>
    <row r="77" spans="1:12" x14ac:dyDescent="0.25">
      <c r="A77" s="155" t="s">
        <v>2</v>
      </c>
      <c r="B77" s="36">
        <v>1500000</v>
      </c>
      <c r="C77" s="40">
        <v>3000000</v>
      </c>
      <c r="D77" s="87">
        <f>ROUND(AVERAGE(B77:C77)*C76*0.02,-3)</f>
        <v>16725000</v>
      </c>
      <c r="E77" s="87">
        <f>ROUND(B77*B76*0.02,-3)</f>
        <v>11150000</v>
      </c>
      <c r="F77" s="58">
        <f>ROUND(C77*C76*0.02,-3)</f>
        <v>22300000</v>
      </c>
      <c r="G77" s="87">
        <f>ROUND(G$2*$B77*$B76,-3)</f>
        <v>55749000</v>
      </c>
      <c r="H77" s="58">
        <f>ROUND(H$2*$C77*$C76,-3)</f>
        <v>111499000</v>
      </c>
      <c r="I77" s="87">
        <f t="shared" ref="I77" si="29">ROUND(I$2*$B77*$B76,-3)</f>
        <v>111499000</v>
      </c>
      <c r="J77" s="58">
        <f t="shared" ref="J77" si="30">ROUND(J$2*$C77*$C76,-3)</f>
        <v>222998000</v>
      </c>
      <c r="K77" s="87">
        <f t="shared" ref="K77" si="31">ROUND(K$2*$B77*$B76,-3)</f>
        <v>167248000</v>
      </c>
      <c r="L77" s="58">
        <f t="shared" ref="L77" si="32">ROUND(L$2*$C77*$C76,-3)</f>
        <v>334497000</v>
      </c>
    </row>
    <row r="78" spans="1:12" ht="14.25" x14ac:dyDescent="0.45">
      <c r="A78" s="83" t="s">
        <v>59</v>
      </c>
      <c r="B78" s="84"/>
      <c r="C78" s="85"/>
      <c r="D78" s="84">
        <f>ROUND((D77/$C76),-3)</f>
        <v>45000</v>
      </c>
      <c r="E78" s="84">
        <f t="shared" ref="E78" si="33">ROUND((E77/$C76),-3)</f>
        <v>30000</v>
      </c>
      <c r="F78" s="85">
        <f t="shared" ref="F78" si="34">ROUND((F77/$C76),-3)</f>
        <v>60000</v>
      </c>
      <c r="G78" s="84">
        <f t="shared" ref="G78" si="35">ROUND((G77/$C76),-3)</f>
        <v>150000</v>
      </c>
      <c r="H78" s="85">
        <f t="shared" ref="H78" si="36">ROUND((H77/$C76),-3)</f>
        <v>300000</v>
      </c>
      <c r="I78" s="84">
        <f t="shared" ref="I78" si="37">ROUND((I77/$C76),-3)</f>
        <v>300000</v>
      </c>
      <c r="J78" s="85">
        <f t="shared" ref="J78" si="38">ROUND((J77/$C76),-3)</f>
        <v>600000</v>
      </c>
      <c r="K78" s="84">
        <f t="shared" ref="K78" si="39">ROUND((K77/$C76),-3)</f>
        <v>450000</v>
      </c>
      <c r="L78" s="85">
        <f t="shared" ref="L78" si="40">ROUND((L77/$C76),-3)</f>
        <v>900000</v>
      </c>
    </row>
    <row r="79" spans="1:12" ht="14.25" x14ac:dyDescent="0.45">
      <c r="B79" s="36"/>
      <c r="C79" s="40"/>
      <c r="D79" s="134"/>
      <c r="E79" s="141"/>
      <c r="F79" s="142"/>
      <c r="G79" s="37"/>
      <c r="H79" s="39"/>
      <c r="I79" s="37"/>
      <c r="J79" s="39"/>
      <c r="K79" s="37"/>
      <c r="L79" s="39"/>
    </row>
    <row r="80" spans="1:12" ht="14.25" x14ac:dyDescent="0.45">
      <c r="A80" s="51" t="s">
        <v>52</v>
      </c>
      <c r="B80" s="135">
        <f>B72+B76</f>
        <v>409.79412709917352</v>
      </c>
      <c r="C80" s="136">
        <f>C72+C76</f>
        <v>409.79412709917352</v>
      </c>
      <c r="D80" s="139">
        <f>D73+D77</f>
        <v>24351000</v>
      </c>
      <c r="E80" s="132">
        <f t="shared" ref="E80:F80" si="41">E73+E77</f>
        <v>14963000</v>
      </c>
      <c r="F80" s="133">
        <f t="shared" si="41"/>
        <v>33739000</v>
      </c>
      <c r="G80" s="103">
        <f t="shared" ref="G80:J80" si="42">G73+G77</f>
        <v>63375000</v>
      </c>
      <c r="H80" s="55">
        <f t="shared" si="42"/>
        <v>134378000</v>
      </c>
      <c r="I80" s="103">
        <f t="shared" si="42"/>
        <v>126751000</v>
      </c>
      <c r="J80" s="55">
        <f t="shared" si="42"/>
        <v>268755000</v>
      </c>
      <c r="K80" s="103">
        <f t="shared" ref="K80:L80" si="43">K73+K77</f>
        <v>190127000</v>
      </c>
      <c r="L80" s="55">
        <f t="shared" si="43"/>
        <v>403133000</v>
      </c>
    </row>
    <row r="81" spans="1:12" s="66" customFormat="1" ht="13.5" customHeight="1" x14ac:dyDescent="0.45">
      <c r="A81"/>
      <c r="B81" s="36"/>
      <c r="C81" s="40"/>
      <c r="D81" s="54"/>
      <c r="E81" s="37"/>
      <c r="F81" s="39"/>
      <c r="G81" s="37"/>
      <c r="H81" s="39"/>
      <c r="I81" s="37"/>
      <c r="J81" s="39"/>
      <c r="K81" s="37"/>
      <c r="L81" s="39"/>
    </row>
    <row r="82" spans="1:12" s="60" customFormat="1" ht="13.5" customHeight="1" x14ac:dyDescent="0.45">
      <c r="A82" s="68" t="s">
        <v>53</v>
      </c>
      <c r="B82" s="137"/>
      <c r="C82" s="138"/>
      <c r="D82" s="140">
        <f>D80+D68</f>
        <v>266803000</v>
      </c>
      <c r="E82" s="143">
        <f t="shared" ref="E82:F82" si="44">E80+E68</f>
        <v>246673000</v>
      </c>
      <c r="F82" s="144">
        <f t="shared" si="44"/>
        <v>286932000</v>
      </c>
      <c r="G82" s="143">
        <f t="shared" ref="G82:J82" si="45">G80+G68</f>
        <v>205149000</v>
      </c>
      <c r="H82" s="144">
        <f t="shared" si="45"/>
        <v>353506000</v>
      </c>
      <c r="I82" s="143">
        <f t="shared" si="45"/>
        <v>410300000</v>
      </c>
      <c r="J82" s="144">
        <f t="shared" si="45"/>
        <v>707013000</v>
      </c>
      <c r="K82" s="143">
        <f t="shared" ref="K82:L82" si="46">K80+K68</f>
        <v>615451000</v>
      </c>
      <c r="L82" s="144">
        <f t="shared" si="46"/>
        <v>1060519000</v>
      </c>
    </row>
    <row r="83" spans="1:12" s="66" customFormat="1" ht="13.5" customHeight="1" x14ac:dyDescent="0.45">
      <c r="A83" s="60" t="s">
        <v>62</v>
      </c>
      <c r="B83" s="63"/>
      <c r="C83" s="63"/>
      <c r="D83" s="72">
        <f>D52/D82</f>
        <v>0.74497288261376371</v>
      </c>
      <c r="E83" s="72"/>
      <c r="F83" s="72"/>
      <c r="G83" s="72">
        <f t="shared" ref="G83:H83" si="47">G52/G82</f>
        <v>0.36985800564467775</v>
      </c>
      <c r="H83" s="72">
        <f t="shared" si="47"/>
        <v>0.31191549789819689</v>
      </c>
      <c r="I83" s="72"/>
      <c r="J83" s="72"/>
      <c r="K83" s="72"/>
      <c r="L83" s="72"/>
    </row>
    <row r="84" spans="1:12" s="66" customFormat="1" ht="13.5" hidden="1" customHeight="1" x14ac:dyDescent="0.45">
      <c r="A84" s="69" t="s">
        <v>60</v>
      </c>
      <c r="B84" s="70"/>
      <c r="C84" s="70"/>
      <c r="D84" s="71">
        <f>D82</f>
        <v>266803000</v>
      </c>
      <c r="E84" s="71"/>
      <c r="F84" s="71"/>
      <c r="G84" s="71"/>
      <c r="H84" s="71"/>
      <c r="I84" s="71">
        <f>I52+$D$65+$D$80</f>
        <v>219795000</v>
      </c>
      <c r="J84" s="71">
        <f>J52+$D$65+$D$80</f>
        <v>288572000</v>
      </c>
      <c r="K84" s="71"/>
      <c r="L84" s="71"/>
    </row>
    <row r="85" spans="1:12" ht="14.25" x14ac:dyDescent="0.45">
      <c r="A85" s="69" t="s">
        <v>61</v>
      </c>
      <c r="B85" s="70"/>
      <c r="C85" s="70"/>
      <c r="D85" s="71">
        <f>D82</f>
        <v>266803000</v>
      </c>
      <c r="E85" s="71"/>
      <c r="F85" s="71"/>
      <c r="G85" s="71"/>
      <c r="H85" s="71"/>
      <c r="I85" s="71"/>
      <c r="J85" s="71"/>
      <c r="K85" s="71">
        <f>K26+G48+E65+E80</f>
        <v>219097000</v>
      </c>
      <c r="L85" s="71">
        <f>L26+H48+F65+F80</f>
        <v>334298000</v>
      </c>
    </row>
    <row r="86" spans="1:12" ht="15.75" hidden="1" thickBot="1" x14ac:dyDescent="0.3">
      <c r="D86" s="65">
        <f>D80+D65+D48+D26</f>
        <v>235803000</v>
      </c>
      <c r="E86" s="65"/>
      <c r="F86" s="65"/>
      <c r="G86" s="88">
        <f>D86*0.4</f>
        <v>94321200</v>
      </c>
    </row>
    <row r="87" spans="1:12" ht="30.75" hidden="1" thickBot="1" x14ac:dyDescent="0.3">
      <c r="A87" s="11" t="s">
        <v>16</v>
      </c>
      <c r="B87" s="12"/>
      <c r="C87" s="12" t="s">
        <v>17</v>
      </c>
      <c r="D87" s="12" t="s">
        <v>18</v>
      </c>
      <c r="E87" s="12"/>
      <c r="F87" s="12"/>
      <c r="G87" s="12"/>
      <c r="H87" s="90" t="s">
        <v>19</v>
      </c>
      <c r="I87" s="31"/>
      <c r="J87" s="91"/>
    </row>
    <row r="88" spans="1:12" ht="15.75" hidden="1" thickBot="1" x14ac:dyDescent="0.3">
      <c r="A88" s="57" t="s">
        <v>20</v>
      </c>
      <c r="B88" s="14"/>
      <c r="C88" s="14"/>
      <c r="D88" s="15">
        <v>1425</v>
      </c>
      <c r="E88" s="15"/>
      <c r="F88" s="15"/>
      <c r="G88" s="15"/>
      <c r="H88" s="16">
        <v>230</v>
      </c>
      <c r="I88" s="31"/>
      <c r="J88" s="56"/>
      <c r="K88" s="1"/>
    </row>
    <row r="89" spans="1:12" hidden="1" x14ac:dyDescent="0.25">
      <c r="A89" s="151" t="s">
        <v>21</v>
      </c>
      <c r="B89" s="30"/>
      <c r="C89" s="13"/>
      <c r="D89" s="17">
        <v>3156</v>
      </c>
      <c r="E89" s="17"/>
      <c r="F89" s="17"/>
      <c r="G89" s="17"/>
      <c r="H89" s="18">
        <v>1220</v>
      </c>
      <c r="I89" s="32"/>
      <c r="J89" s="56"/>
      <c r="K89" s="1"/>
    </row>
    <row r="90" spans="1:12" hidden="1" x14ac:dyDescent="0.25">
      <c r="A90" s="152"/>
      <c r="B90" s="19"/>
      <c r="C90" s="19" t="s">
        <v>22</v>
      </c>
      <c r="D90" s="20">
        <v>441.84000000000003</v>
      </c>
      <c r="E90" s="20"/>
      <c r="F90" s="20"/>
      <c r="G90" s="20"/>
      <c r="H90" s="21">
        <v>170.8</v>
      </c>
      <c r="I90" s="33"/>
      <c r="J90" s="56"/>
      <c r="K90" s="1"/>
    </row>
    <row r="91" spans="1:12" hidden="1" x14ac:dyDescent="0.25">
      <c r="A91" s="152"/>
      <c r="B91" s="19"/>
      <c r="C91" s="19" t="s">
        <v>23</v>
      </c>
      <c r="D91" s="20">
        <v>473.4</v>
      </c>
      <c r="E91" s="20"/>
      <c r="F91" s="20"/>
      <c r="G91" s="20"/>
      <c r="H91" s="21">
        <v>183</v>
      </c>
      <c r="I91" s="33"/>
      <c r="J91" s="56"/>
      <c r="K91" s="1"/>
    </row>
    <row r="92" spans="1:12" hidden="1" x14ac:dyDescent="0.25">
      <c r="A92" s="152"/>
      <c r="B92" s="19"/>
      <c r="C92" s="19" t="s">
        <v>24</v>
      </c>
      <c r="D92" s="20">
        <v>220.92000000000002</v>
      </c>
      <c r="E92" s="20"/>
      <c r="F92" s="20"/>
      <c r="G92" s="20"/>
      <c r="H92" s="21">
        <v>85.4</v>
      </c>
      <c r="I92" s="33"/>
      <c r="J92" s="56"/>
      <c r="K92" s="1"/>
    </row>
    <row r="93" spans="1:12" ht="15.75" hidden="1" thickBot="1" x14ac:dyDescent="0.3">
      <c r="A93" s="153"/>
      <c r="B93" s="14"/>
      <c r="C93" s="14" t="s">
        <v>25</v>
      </c>
      <c r="D93" s="22">
        <v>2019.8400000000001</v>
      </c>
      <c r="E93" s="22"/>
      <c r="F93" s="22"/>
      <c r="G93" s="22"/>
      <c r="H93" s="23">
        <v>780.80000000000007</v>
      </c>
      <c r="I93" s="33"/>
      <c r="J93" s="13"/>
    </row>
    <row r="94" spans="1:12" hidden="1" x14ac:dyDescent="0.25">
      <c r="A94" s="151" t="s">
        <v>26</v>
      </c>
      <c r="B94" s="19"/>
      <c r="C94" s="19"/>
      <c r="D94" s="24">
        <v>18519</v>
      </c>
      <c r="E94" s="24"/>
      <c r="F94" s="24"/>
      <c r="G94" s="24"/>
      <c r="H94" s="25">
        <v>11304</v>
      </c>
      <c r="I94" s="32"/>
      <c r="J94" s="13"/>
    </row>
    <row r="95" spans="1:12" hidden="1" x14ac:dyDescent="0.25">
      <c r="A95" s="152"/>
      <c r="B95" s="19"/>
      <c r="C95" s="19" t="s">
        <v>27</v>
      </c>
      <c r="D95" s="19" t="s">
        <v>28</v>
      </c>
      <c r="E95" s="19"/>
      <c r="F95" s="19"/>
      <c r="G95" s="19"/>
      <c r="H95" s="26">
        <v>7912.7999999999993</v>
      </c>
      <c r="I95" s="32"/>
      <c r="J95" s="13"/>
    </row>
    <row r="96" spans="1:12" ht="30" hidden="1" x14ac:dyDescent="0.25">
      <c r="A96" s="152"/>
      <c r="B96" s="19"/>
      <c r="C96" s="19" t="s">
        <v>29</v>
      </c>
      <c r="D96" s="19" t="s">
        <v>30</v>
      </c>
      <c r="E96" s="19"/>
      <c r="F96" s="19"/>
      <c r="G96" s="19"/>
      <c r="H96" s="26">
        <v>5652</v>
      </c>
      <c r="I96" s="32"/>
      <c r="J96" s="13"/>
    </row>
    <row r="97" spans="1:10" ht="30" hidden="1" x14ac:dyDescent="0.25">
      <c r="A97" s="152"/>
      <c r="B97" s="19"/>
      <c r="C97" s="19" t="s">
        <v>31</v>
      </c>
      <c r="D97" s="19" t="s">
        <v>32</v>
      </c>
      <c r="E97" s="19"/>
      <c r="F97" s="19"/>
      <c r="G97" s="19"/>
      <c r="H97" s="26">
        <v>2260.8000000000002</v>
      </c>
      <c r="I97" s="32"/>
      <c r="J97" s="13"/>
    </row>
    <row r="98" spans="1:10" hidden="1" x14ac:dyDescent="0.25">
      <c r="A98" s="152"/>
      <c r="B98" s="19"/>
      <c r="C98" s="19" t="s">
        <v>33</v>
      </c>
      <c r="D98" s="27"/>
      <c r="E98" s="27"/>
      <c r="F98" s="27"/>
      <c r="G98" s="27"/>
      <c r="H98" s="26">
        <v>1921.68</v>
      </c>
      <c r="I98" s="32"/>
      <c r="J98" s="13"/>
    </row>
    <row r="99" spans="1:10" hidden="1" x14ac:dyDescent="0.25">
      <c r="A99" s="152"/>
      <c r="B99" s="19"/>
      <c r="C99" s="19" t="s">
        <v>34</v>
      </c>
      <c r="D99" s="27"/>
      <c r="E99" s="27"/>
      <c r="F99" s="27"/>
      <c r="G99" s="27"/>
      <c r="H99" s="26">
        <v>452.16</v>
      </c>
      <c r="I99" s="32"/>
      <c r="J99" s="13"/>
    </row>
    <row r="100" spans="1:10" ht="15.75" hidden="1" thickBot="1" x14ac:dyDescent="0.3">
      <c r="A100" s="153"/>
      <c r="B100" s="14"/>
      <c r="C100" s="14" t="s">
        <v>35</v>
      </c>
      <c r="D100" s="28"/>
      <c r="E100" s="28"/>
      <c r="F100" s="28"/>
      <c r="G100" s="28"/>
      <c r="H100" s="16">
        <v>1017.36</v>
      </c>
      <c r="I100" s="32"/>
      <c r="J100" s="13"/>
    </row>
    <row r="101" spans="1:10" ht="60.75" hidden="1" thickBot="1" x14ac:dyDescent="0.3">
      <c r="A101" s="57"/>
      <c r="B101" s="14"/>
      <c r="C101" s="14" t="s">
        <v>36</v>
      </c>
      <c r="D101" s="14" t="s">
        <v>37</v>
      </c>
      <c r="E101" s="30"/>
      <c r="F101" s="30"/>
      <c r="G101" s="30"/>
      <c r="H101" s="13"/>
      <c r="I101" s="13"/>
      <c r="J101" s="13"/>
    </row>
    <row r="102" spans="1:10" hidden="1" x14ac:dyDescent="0.25">
      <c r="A102" s="13"/>
      <c r="B102" s="13"/>
      <c r="C102" s="13"/>
      <c r="D102" s="89">
        <f>D82-($D$50+$D$51)</f>
        <v>235803000</v>
      </c>
      <c r="E102" s="89">
        <f>E82-($D$50+$D$51)</f>
        <v>215673000</v>
      </c>
      <c r="F102" s="89">
        <f>F82-($D$50+$D$51)</f>
        <v>255932000</v>
      </c>
      <c r="G102" s="13"/>
      <c r="H102" s="13"/>
      <c r="I102" s="13"/>
      <c r="J102" s="13"/>
    </row>
    <row r="103" spans="1:10" ht="14.25" x14ac:dyDescent="0.45">
      <c r="A103" s="13"/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1:10" ht="14.25" x14ac:dyDescent="0.45">
      <c r="D104" s="65"/>
      <c r="E104" s="65"/>
      <c r="F104" s="65"/>
    </row>
    <row r="105" spans="1:10" ht="14.25" x14ac:dyDescent="0.45">
      <c r="D105" s="88"/>
      <c r="E105" s="88"/>
      <c r="F105" s="88"/>
    </row>
    <row r="112" spans="1:10" x14ac:dyDescent="0.25">
      <c r="A112" s="67"/>
    </row>
  </sheetData>
  <mergeCells count="2">
    <mergeCell ref="A89:A93"/>
    <mergeCell ref="A94:A10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Mississauga CBC Forecast</vt:lpstr>
    </vt:vector>
  </TitlesOfParts>
  <Company>City of Mississauga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Morton</dc:creator>
  <cp:lastModifiedBy>Katherine Morton</cp:lastModifiedBy>
  <dcterms:created xsi:type="dcterms:W3CDTF">2020-03-18T13:26:57Z</dcterms:created>
  <dcterms:modified xsi:type="dcterms:W3CDTF">2020-04-20T22:47:55Z</dcterms:modified>
</cp:coreProperties>
</file>