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wner\Desktop\Reference Documents\Excess soil regulation group\Distribution 220330\Minister Piccini, MECP\"/>
    </mc:Choice>
  </mc:AlternateContent>
  <xr:revisionPtr revIDLastSave="0" documentId="13_ncr:1_{D4A6F069-B062-431F-9A41-7F680EC448A0}" xr6:coauthVersionLast="47" xr6:coauthVersionMax="47" xr10:uidLastSave="{00000000-0000-0000-0000-000000000000}"/>
  <bookViews>
    <workbookView xWindow="28680" yWindow="225" windowWidth="29040" windowHeight="15840" xr2:uid="{F5EBDB51-11E6-4EE2-B3DC-89F13DD7DC49}"/>
  </bookViews>
  <sheets>
    <sheet name="Summary" sheetId="1" r:id="rId1"/>
    <sheet name="Preconstruction" sheetId="2" r:id="rId2"/>
    <sheet name="Construction" sheetId="3" r:id="rId3"/>
    <sheet name="Receiving" sheetId="4" r:id="rId4"/>
    <sheet name="Condensed" sheetId="6" r:id="rId5"/>
    <sheet name="Recommendations" sheetId="5" r:id="rId6"/>
  </sheets>
  <definedNames>
    <definedName name="_xlnm.Print_Area" localSheetId="4">Condensed!$B$8:$H$78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2" i="6" l="1"/>
  <c r="G49" i="6"/>
  <c r="H49" i="6"/>
  <c r="H52" i="6" s="1"/>
  <c r="G50" i="6"/>
  <c r="H50" i="6"/>
  <c r="G51" i="6"/>
  <c r="H51" i="6"/>
  <c r="G58" i="6"/>
  <c r="G59" i="6"/>
  <c r="G60" i="6"/>
  <c r="H60" i="6"/>
  <c r="Q32" i="6"/>
  <c r="G67" i="6" s="1"/>
  <c r="O32" i="6"/>
  <c r="P32" i="6" s="1"/>
  <c r="G32" i="6"/>
  <c r="R31" i="6"/>
  <c r="H66" i="6" s="1"/>
  <c r="Q31" i="6"/>
  <c r="G66" i="6" s="1"/>
  <c r="P31" i="6"/>
  <c r="O31" i="6"/>
  <c r="G31" i="6"/>
  <c r="Q30" i="6"/>
  <c r="G65" i="6" s="1"/>
  <c r="O30" i="6"/>
  <c r="O33" i="6" s="1"/>
  <c r="H24" i="6"/>
  <c r="H59" i="6" s="1"/>
  <c r="R23" i="6"/>
  <c r="H23" i="6" s="1"/>
  <c r="H58" i="6" s="1"/>
  <c r="P23" i="6"/>
  <c r="R22" i="6"/>
  <c r="H22" i="6" s="1"/>
  <c r="H57" i="6" s="1"/>
  <c r="Q22" i="6"/>
  <c r="P22" i="6"/>
  <c r="O22" i="6"/>
  <c r="R21" i="6"/>
  <c r="H21" i="6" s="1"/>
  <c r="H56" i="6" s="1"/>
  <c r="Q21" i="6"/>
  <c r="G21" i="6" s="1"/>
  <c r="G56" i="6" s="1"/>
  <c r="P21" i="6"/>
  <c r="O21" i="6"/>
  <c r="R20" i="6"/>
  <c r="Q20" i="6"/>
  <c r="P20" i="6"/>
  <c r="O20" i="6"/>
  <c r="G20" i="6"/>
  <c r="G55" i="6" s="1"/>
  <c r="H16" i="6"/>
  <c r="G16" i="6"/>
  <c r="R15" i="6"/>
  <c r="Q15" i="6"/>
  <c r="P15" i="6"/>
  <c r="O15" i="6"/>
  <c r="H15" i="6"/>
  <c r="G15" i="6"/>
  <c r="R14" i="6"/>
  <c r="R17" i="6" s="1"/>
  <c r="Q14" i="6"/>
  <c r="P14" i="6"/>
  <c r="O14" i="6"/>
  <c r="O17" i="6" s="1"/>
  <c r="H14" i="6"/>
  <c r="G14" i="6"/>
  <c r="G17" i="6" s="1"/>
  <c r="G15" i="1"/>
  <c r="H15" i="1"/>
  <c r="R20" i="1"/>
  <c r="G51" i="1"/>
  <c r="H51" i="1"/>
  <c r="C190" i="3"/>
  <c r="C189" i="3"/>
  <c r="G58" i="1"/>
  <c r="H58" i="1"/>
  <c r="G59" i="1"/>
  <c r="H59" i="1"/>
  <c r="G60" i="1"/>
  <c r="H60" i="1"/>
  <c r="G61" i="1"/>
  <c r="H61" i="1"/>
  <c r="G62" i="1"/>
  <c r="H62" i="1"/>
  <c r="G63" i="1"/>
  <c r="G57" i="1"/>
  <c r="H53" i="1"/>
  <c r="G53" i="1"/>
  <c r="H52" i="1"/>
  <c r="C155" i="3"/>
  <c r="G52" i="1"/>
  <c r="G14" i="1"/>
  <c r="C149" i="3"/>
  <c r="C148" i="3"/>
  <c r="C191" i="3"/>
  <c r="C147" i="3"/>
  <c r="C143" i="3"/>
  <c r="G68" i="1"/>
  <c r="H68" i="1"/>
  <c r="G69" i="1"/>
  <c r="H69" i="1"/>
  <c r="G70" i="1"/>
  <c r="H70" i="1"/>
  <c r="G71" i="1"/>
  <c r="H71" i="1"/>
  <c r="G67" i="1"/>
  <c r="H67" i="1"/>
  <c r="C132" i="3"/>
  <c r="C131" i="3"/>
  <c r="C133" i="3" s="1"/>
  <c r="C91" i="3"/>
  <c r="G16" i="1" s="1"/>
  <c r="P15" i="1"/>
  <c r="C97" i="3"/>
  <c r="H24" i="1"/>
  <c r="C89" i="3"/>
  <c r="C90" i="3" s="1"/>
  <c r="H16" i="1" s="1"/>
  <c r="C85" i="3"/>
  <c r="O15" i="1"/>
  <c r="B11" i="3"/>
  <c r="B16" i="3" s="1"/>
  <c r="B16" i="2"/>
  <c r="R31" i="1"/>
  <c r="H31" i="1" s="1"/>
  <c r="Q31" i="1"/>
  <c r="G31" i="1" s="1"/>
  <c r="D33" i="4"/>
  <c r="C33" i="4"/>
  <c r="D24" i="4"/>
  <c r="R26" i="6" l="1"/>
  <c r="H26" i="6" s="1"/>
  <c r="H61" i="6" s="1"/>
  <c r="H17" i="6"/>
  <c r="P17" i="6"/>
  <c r="Q26" i="6"/>
  <c r="G26" i="6" s="1"/>
  <c r="G61" i="6" s="1"/>
  <c r="P30" i="6"/>
  <c r="P33" i="6" s="1"/>
  <c r="Q17" i="6"/>
  <c r="O26" i="6"/>
  <c r="O27" i="6" s="1"/>
  <c r="P26" i="6"/>
  <c r="P27" i="6" s="1"/>
  <c r="Q33" i="6"/>
  <c r="G68" i="6" s="1"/>
  <c r="G69" i="6" s="1"/>
  <c r="H20" i="6"/>
  <c r="H55" i="6" s="1"/>
  <c r="H62" i="6" s="1"/>
  <c r="H31" i="6"/>
  <c r="G30" i="6"/>
  <c r="R27" i="6"/>
  <c r="R32" i="6"/>
  <c r="H67" i="6" s="1"/>
  <c r="G22" i="6"/>
  <c r="G57" i="6" s="1"/>
  <c r="G33" i="6"/>
  <c r="O34" i="6"/>
  <c r="Q34" i="6"/>
  <c r="R30" i="6"/>
  <c r="H65" i="6" s="1"/>
  <c r="G64" i="1"/>
  <c r="H14" i="1"/>
  <c r="H17" i="1" s="1"/>
  <c r="G17" i="1"/>
  <c r="H54" i="1"/>
  <c r="G54" i="1"/>
  <c r="C9" i="4"/>
  <c r="C8" i="4"/>
  <c r="C58" i="3"/>
  <c r="C59" i="3" s="1"/>
  <c r="E38" i="3"/>
  <c r="D38" i="3"/>
  <c r="C9" i="3"/>
  <c r="C8" i="3"/>
  <c r="E27" i="2"/>
  <c r="E29" i="2" s="1"/>
  <c r="R15" i="1" s="1"/>
  <c r="D27" i="2"/>
  <c r="D29" i="2" s="1"/>
  <c r="Q15" i="1" s="1"/>
  <c r="B19" i="2"/>
  <c r="D19" i="2" s="1"/>
  <c r="R14" i="1" s="1"/>
  <c r="P34" i="6" l="1"/>
  <c r="G27" i="6"/>
  <c r="Q27" i="6"/>
  <c r="Q36" i="6" s="1"/>
  <c r="Q38" i="6" s="1"/>
  <c r="G62" i="6"/>
  <c r="G71" i="6"/>
  <c r="G73" i="6" s="1"/>
  <c r="G76" i="6" s="1"/>
  <c r="G78" i="6" s="1"/>
  <c r="P36" i="6"/>
  <c r="P41" i="6" s="1"/>
  <c r="H32" i="6"/>
  <c r="H30" i="6"/>
  <c r="R33" i="6"/>
  <c r="G34" i="6"/>
  <c r="G36" i="6" s="1"/>
  <c r="G38" i="6" s="1"/>
  <c r="G41" i="6" s="1"/>
  <c r="G43" i="6" s="1"/>
  <c r="O36" i="6"/>
  <c r="O41" i="6" s="1"/>
  <c r="H27" i="6"/>
  <c r="G73" i="1"/>
  <c r="C60" i="3"/>
  <c r="D25" i="4"/>
  <c r="C40" i="4"/>
  <c r="O32" i="1" s="1"/>
  <c r="P32" i="1" s="1"/>
  <c r="C32" i="4"/>
  <c r="O31" i="1" s="1"/>
  <c r="D32" i="4"/>
  <c r="P31" i="1" s="1"/>
  <c r="C19" i="2"/>
  <c r="Q14" i="1" s="1"/>
  <c r="Q17" i="1" s="1"/>
  <c r="G29" i="3"/>
  <c r="G31" i="3" s="1"/>
  <c r="D71" i="3"/>
  <c r="C61" i="3"/>
  <c r="G46" i="3"/>
  <c r="D16" i="4"/>
  <c r="C41" i="4"/>
  <c r="Q32" i="1" s="1"/>
  <c r="D26" i="4"/>
  <c r="R17" i="1"/>
  <c r="F29" i="3"/>
  <c r="E39" i="3"/>
  <c r="D39" i="3"/>
  <c r="B18" i="3"/>
  <c r="D18" i="3" s="1"/>
  <c r="P20" i="1" s="1"/>
  <c r="D40" i="3"/>
  <c r="E40" i="3"/>
  <c r="B19" i="3"/>
  <c r="B18" i="2"/>
  <c r="D28" i="2"/>
  <c r="E28" i="2"/>
  <c r="R34" i="6" l="1"/>
  <c r="R36" i="6" s="1"/>
  <c r="R38" i="6" s="1"/>
  <c r="H68" i="6"/>
  <c r="H69" i="6" s="1"/>
  <c r="H71" i="6" s="1"/>
  <c r="H73" i="6" s="1"/>
  <c r="H76" i="6" s="1"/>
  <c r="H78" i="6" s="1"/>
  <c r="H33" i="6"/>
  <c r="H34" i="6"/>
  <c r="H36" i="6" s="1"/>
  <c r="H38" i="6" s="1"/>
  <c r="H41" i="6" s="1"/>
  <c r="H43" i="6" s="1"/>
  <c r="G75" i="1"/>
  <c r="G78" i="1" s="1"/>
  <c r="G80" i="1" s="1"/>
  <c r="G30" i="3"/>
  <c r="P21" i="1" s="1"/>
  <c r="R21" i="1"/>
  <c r="H21" i="1" s="1"/>
  <c r="D18" i="2"/>
  <c r="P14" i="1" s="1"/>
  <c r="P17" i="1" s="1"/>
  <c r="C18" i="2"/>
  <c r="O14" i="1" s="1"/>
  <c r="O17" i="1" s="1"/>
  <c r="D17" i="4"/>
  <c r="O30" i="1" s="1"/>
  <c r="D18" i="4"/>
  <c r="Q30" i="1" s="1"/>
  <c r="D73" i="3"/>
  <c r="R23" i="1" s="1"/>
  <c r="H23" i="1" s="1"/>
  <c r="D72" i="3"/>
  <c r="P23" i="1" s="1"/>
  <c r="G47" i="3"/>
  <c r="I47" i="3"/>
  <c r="G32" i="1"/>
  <c r="R32" i="1"/>
  <c r="H32" i="1" s="1"/>
  <c r="F30" i="3"/>
  <c r="O21" i="1" s="1"/>
  <c r="F31" i="3"/>
  <c r="Q21" i="1" s="1"/>
  <c r="G21" i="1" s="1"/>
  <c r="C18" i="3"/>
  <c r="O20" i="1" s="1"/>
  <c r="D19" i="3"/>
  <c r="C19" i="3"/>
  <c r="Q20" i="1" l="1"/>
  <c r="G20" i="1" s="1"/>
  <c r="I48" i="3"/>
  <c r="F50" i="3" s="1"/>
  <c r="F51" i="3"/>
  <c r="G48" i="3"/>
  <c r="E50" i="3" s="1"/>
  <c r="E51" i="3"/>
  <c r="R30" i="1"/>
  <c r="Q33" i="1"/>
  <c r="G33" i="1" s="1"/>
  <c r="G30" i="1"/>
  <c r="P30" i="1"/>
  <c r="O33" i="1"/>
  <c r="O34" i="1" s="1"/>
  <c r="H20" i="1"/>
  <c r="H57" i="1" s="1"/>
  <c r="Q34" i="1" l="1"/>
  <c r="G34" i="1"/>
  <c r="P33" i="1"/>
  <c r="P34" i="1" s="1"/>
  <c r="H30" i="1"/>
  <c r="R33" i="1"/>
  <c r="H33" i="1" s="1"/>
  <c r="H34" i="1" s="1"/>
  <c r="I50" i="3"/>
  <c r="G50" i="3"/>
  <c r="E52" i="3"/>
  <c r="G51" i="3"/>
  <c r="I51" i="3"/>
  <c r="J51" i="3"/>
  <c r="H51" i="3"/>
  <c r="H50" i="3"/>
  <c r="F52" i="3"/>
  <c r="J50" i="3"/>
  <c r="R34" i="1" l="1"/>
  <c r="G52" i="3"/>
  <c r="O22" i="1" s="1"/>
  <c r="I52" i="3"/>
  <c r="Q22" i="1" s="1"/>
  <c r="J52" i="3"/>
  <c r="R22" i="1" s="1"/>
  <c r="H52" i="3"/>
  <c r="P22" i="1" s="1"/>
  <c r="P26" i="1" l="1"/>
  <c r="P27" i="1" s="1"/>
  <c r="P36" i="1" s="1"/>
  <c r="P41" i="1" s="1"/>
  <c r="H22" i="1"/>
  <c r="R26" i="1"/>
  <c r="H26" i="1" s="1"/>
  <c r="H63" i="1" s="1"/>
  <c r="H64" i="1" s="1"/>
  <c r="H73" i="1" s="1"/>
  <c r="H75" i="1" s="1"/>
  <c r="H78" i="1" s="1"/>
  <c r="H80" i="1" s="1"/>
  <c r="G22" i="1"/>
  <c r="Q26" i="1"/>
  <c r="G26" i="1" s="1"/>
  <c r="O26" i="1"/>
  <c r="O27" i="1" s="1"/>
  <c r="O36" i="1" s="1"/>
  <c r="O41" i="1" s="1"/>
  <c r="Q27" i="1" l="1"/>
  <c r="Q36" i="1" s="1"/>
  <c r="Q38" i="1" s="1"/>
  <c r="H27" i="1"/>
  <c r="H36" i="1" s="1"/>
  <c r="H38" i="1" s="1"/>
  <c r="H41" i="1" s="1"/>
  <c r="H43" i="1" s="1"/>
  <c r="G27" i="1"/>
  <c r="G36" i="1" s="1"/>
  <c r="G38" i="1" s="1"/>
  <c r="G41" i="1" s="1"/>
  <c r="G43" i="1" s="1"/>
  <c r="R27" i="1"/>
  <c r="R36" i="1" s="1"/>
  <c r="R38" i="1" s="1"/>
</calcChain>
</file>

<file path=xl/sharedStrings.xml><?xml version="1.0" encoding="utf-8"?>
<sst xmlns="http://schemas.openxmlformats.org/spreadsheetml/2006/main" count="438" uniqueCount="241">
  <si>
    <t>Residential Development</t>
  </si>
  <si>
    <t>(High rise building)</t>
  </si>
  <si>
    <t>(Approx. 25,000m3)</t>
  </si>
  <si>
    <t>Municipal Road</t>
  </si>
  <si>
    <t>(Complete Sewer, Water, and Road Reconstruction)</t>
  </si>
  <si>
    <t>Travel Distance</t>
  </si>
  <si>
    <t>Engineering</t>
  </si>
  <si>
    <t>Delays</t>
  </si>
  <si>
    <t>Excavation inefficiencies</t>
  </si>
  <si>
    <t>Load tracking</t>
  </si>
  <si>
    <t>Administration</t>
  </si>
  <si>
    <t>Registration</t>
  </si>
  <si>
    <t>QC/QA</t>
  </si>
  <si>
    <t>New Costs Associated with Excess Soil Regulations</t>
  </si>
  <si>
    <t>Example</t>
  </si>
  <si>
    <t>City of London Queens Ave. BRT project.  2022</t>
  </si>
  <si>
    <t>Details</t>
  </si>
  <si>
    <t>Storm, sanitary and watermain replacement</t>
  </si>
  <si>
    <t>Dry utility relocation and replacement</t>
  </si>
  <si>
    <t>Road reconstruction incl. pavement, curbs, sidewalk and BRT appurtenances</t>
  </si>
  <si>
    <t>$120,000 allowance for all QP and testing requirements</t>
  </si>
  <si>
    <t>Contractor QP - Fill management plan</t>
  </si>
  <si>
    <t>Meant to include Site Characterization report, soil testing, QP construction management, receiving site evaluation, fill management plan and contractor QA.</t>
  </si>
  <si>
    <t>Examples</t>
  </si>
  <si>
    <t>m of road way</t>
  </si>
  <si>
    <t>m3 of excess soils</t>
  </si>
  <si>
    <t>per m of road way</t>
  </si>
  <si>
    <t>per m3 of excess soil</t>
  </si>
  <si>
    <t>Assume 60% is for preconstruction costs: Site Characterization report and soil testing.</t>
  </si>
  <si>
    <t xml:space="preserve">Engineering: </t>
  </si>
  <si>
    <t>Extra engineering may be required to handle testing or construction activities associated with soils management</t>
  </si>
  <si>
    <t>Examples include:</t>
  </si>
  <si>
    <t>Construction Costs - Contractor Tender Price</t>
  </si>
  <si>
    <t>Preconstruction Costs - Municipality Costs</t>
  </si>
  <si>
    <t>Receiving Site -  Tipping Fees</t>
  </si>
  <si>
    <t>Preconstruction Costs - Owner's Direct Costs</t>
  </si>
  <si>
    <t>traffic control design for insitu testing - Likely to occur (75% probability) - Assume $1000-$5000 to design plan</t>
  </si>
  <si>
    <t>special excavation/construction methods - Unlikely to occur (10% probability) - Assume $5000-15000 to design plan</t>
  </si>
  <si>
    <t>Low Range</t>
  </si>
  <si>
    <t>High Range</t>
  </si>
  <si>
    <t>per m</t>
  </si>
  <si>
    <t>per m3</t>
  </si>
  <si>
    <t>Delays:</t>
  </si>
  <si>
    <t xml:space="preserve">Due to the extra preconstruction work required it could cause delays to bring a project to tender. </t>
  </si>
  <si>
    <t>Inflationary cost increases - Minimum 2% per annum but this year upwards of 10% due to high oil prices effecting many materials.</t>
  </si>
  <si>
    <t>Repair costs during the delay period - Ex. Watermain break - Likely $15,000+ per break</t>
  </si>
  <si>
    <t>Other indirect costs - damages to residents, businesses, users of facilities.</t>
  </si>
  <si>
    <t>This is extremely hard to evaluate but statistically not zero.</t>
  </si>
  <si>
    <t>Actual</t>
  </si>
  <si>
    <t>+/-25%</t>
  </si>
  <si>
    <t>Per m</t>
  </si>
  <si>
    <t>Per m3</t>
  </si>
  <si>
    <t>Low</t>
  </si>
  <si>
    <t>High</t>
  </si>
  <si>
    <t>Contractor QP - Fill management plan, QA</t>
  </si>
  <si>
    <t>Assume 40% is for construction costs: Fill Management plan creation; on-site QA</t>
  </si>
  <si>
    <t>Excavation Inefficiencies:</t>
  </si>
  <si>
    <t>Margin/Overhead (15%)</t>
  </si>
  <si>
    <t>Probability of occurance is 25-50%.</t>
  </si>
  <si>
    <r>
      <t xml:space="preserve">5-10% reduction of crew efficiency @ </t>
    </r>
    <r>
      <rPr>
        <sz val="11"/>
        <rFont val="Calibri"/>
        <family val="2"/>
        <scheme val="minor"/>
      </rPr>
      <t>$750</t>
    </r>
    <r>
      <rPr>
        <sz val="11"/>
        <color theme="1"/>
        <rFont val="Calibri"/>
        <family val="2"/>
        <scheme val="minor"/>
      </rPr>
      <t>/hr is a reasonable assumption.</t>
    </r>
  </si>
  <si>
    <t>Probability</t>
  </si>
  <si>
    <t>Round trip to storage site</t>
  </si>
  <si>
    <t>hr</t>
  </si>
  <si>
    <t>Truck cost/hr</t>
  </si>
  <si>
    <t>Truck volume</t>
  </si>
  <si>
    <t>m3</t>
  </si>
  <si>
    <t>Total Cost</t>
  </si>
  <si>
    <t>per m of road</t>
  </si>
  <si>
    <t>Load Tracking</t>
  </si>
  <si>
    <t>Software system</t>
  </si>
  <si>
    <t>$4/day/truck licencing fees</t>
  </si>
  <si>
    <t>$1/hr per truck for hardware and connectivity</t>
  </si>
  <si>
    <t>Triaxle dump truck holds 10m3</t>
  </si>
  <si>
    <t>Round trip 0.75-1.5hr</t>
  </si>
  <si>
    <t>truck loads</t>
  </si>
  <si>
    <t>hrs</t>
  </si>
  <si>
    <t>Assume 10 hour work days</t>
  </si>
  <si>
    <t>days</t>
  </si>
  <si>
    <t>licencing</t>
  </si>
  <si>
    <t>Hardware</t>
  </si>
  <si>
    <t>Total</t>
  </si>
  <si>
    <t>Administrative</t>
  </si>
  <si>
    <t>TREAD or SoilFlo</t>
  </si>
  <si>
    <t>Administrative and reporting to owner/QP</t>
  </si>
  <si>
    <t>hrs per month per project</t>
  </si>
  <si>
    <t>Cost for administrator - includes wages, benefits, pension, vacation, wsib, ei, cpp, etc.</t>
  </si>
  <si>
    <t>Assume 35 hours/wk with 3 weeks vacation or 1715 annual hours</t>
  </si>
  <si>
    <t>per month</t>
  </si>
  <si>
    <t>per 6 month project</t>
  </si>
  <si>
    <t>per m3 of soil</t>
  </si>
  <si>
    <t>Travel distance</t>
  </si>
  <si>
    <t>Under the new regulations there will be less sites approved for disposal.</t>
  </si>
  <si>
    <t xml:space="preserve">In the past nearby soil deficient sites didn't need a full QP report prior to acceptance therefore they were ready and waiting on a moments notice. </t>
  </si>
  <si>
    <t>Often sites were determined at the time of construction</t>
  </si>
  <si>
    <t>To meet the new regulations it would be impossible to prepare the necessary items for sites to receive soils without 3 - 6 months notice.</t>
  </si>
  <si>
    <t>Assume 10m3/load and a triaxle dump truck @ $100/hr</t>
  </si>
  <si>
    <t>per m of roadway</t>
  </si>
  <si>
    <t>Site Characterization &amp; Testing</t>
  </si>
  <si>
    <t>Site Characterization and Testing</t>
  </si>
  <si>
    <t>Ticketing</t>
  </si>
  <si>
    <t>$0.25/ticket/load</t>
  </si>
  <si>
    <t>Assume 10m3/load</t>
  </si>
  <si>
    <t>$5000 annual in software &amp; hardware and assume 10 projects per year</t>
  </si>
  <si>
    <t>annual labour costs.</t>
  </si>
  <si>
    <t>Assume 15% of a person to manage new tracking of soils for 10 projects</t>
  </si>
  <si>
    <t>is the minimum cost to register - allows 50,000m3</t>
  </si>
  <si>
    <t>QA/QC</t>
  </si>
  <si>
    <t>It is a requirement that QA/QC is performed by the receiving site for every 10,000m3</t>
  </si>
  <si>
    <t>This requires $5500 in costs to perform spot excavation and testing of the material</t>
  </si>
  <si>
    <t>Risk/Margin/Overhead (20%)</t>
  </si>
  <si>
    <t>Risk</t>
  </si>
  <si>
    <t>This requires at least a 5% margin above overhead and profit margins.</t>
  </si>
  <si>
    <t>The receiving site is taking the risk that soils received are not what they appear.  This requires coverage should QA/QC tests fail.</t>
  </si>
  <si>
    <t>Grand Total</t>
  </si>
  <si>
    <t>https://www.ontario.ca/page/handling-excess-soil#:~:text=About%20excess%20soil,-What%20is%20excess&amp;text=An%20estimated%2025%20million%20cubic,where%20it%20may%20be%20reused.</t>
  </si>
  <si>
    <t>"An estimated 25 million cubic metres of excess soil is generated in Ontario every year."  www.ontario.ca</t>
  </si>
  <si>
    <t>Therefore, soils will be sent further to past approved sites.  This further distance travelled can range between and additional 0 min - 1 hour per round trip</t>
  </si>
  <si>
    <t>replacement cycle</t>
  </si>
  <si>
    <t>with infrastructure</t>
  </si>
  <si>
    <t>m road</t>
  </si>
  <si>
    <t>Stats Can 2003: 120,000km of paved road in Ontario</t>
  </si>
  <si>
    <t>25 Million Cubic Meters (annually)</t>
  </si>
  <si>
    <t>$120,000 allowance for all QP and testing requirements - Actual quote: see attached</t>
  </si>
  <si>
    <t>Recommendations</t>
  </si>
  <si>
    <t>Item</t>
  </si>
  <si>
    <t>1)</t>
  </si>
  <si>
    <t>2)</t>
  </si>
  <si>
    <t>Suggestion</t>
  </si>
  <si>
    <t>Reasoning</t>
  </si>
  <si>
    <t>Table 1 soils are the cleanest soil types.  Therefore environmental risk logically no longer exists as it pertains to chemical properties.  Municipalities can manage through site alteration permits.</t>
  </si>
  <si>
    <t>A large part of the costs and strain are that soils will travel further because nearby acceptable sites haven't been approved yet.  Table 1 soils are low environmental risk soils.  Approval of nearby receiving sites should be quick so that owners can take advantage of them.  Positive for climate change issues as well.</t>
  </si>
  <si>
    <t>(Approx. 1120m &amp; 53,150m3 excess)</t>
  </si>
  <si>
    <t>3)</t>
  </si>
  <si>
    <t>Reduce samples required within table.</t>
  </si>
  <si>
    <t>4)</t>
  </si>
  <si>
    <t>Consistency across municipalities.</t>
  </si>
  <si>
    <t>A provincial regulation should create consistency across all municipalities across Ontario.  There is very little consistency how excess soils are dealt with from municipality to municipality.  Some municipalities are very dilligent like Durham and Sarnia.  Others have ignored the regs.  And others are taking the middle ground like London.  This makes it confusing for QPs, contractors and owners to keep it all straight.</t>
  </si>
  <si>
    <t>5)</t>
  </si>
  <si>
    <t>Allow for greater volumes in gravel pits.</t>
  </si>
  <si>
    <t>The MNRF expresses to licence holders they are "not in the filling business" and discourage receiving excess soils beyond rehabilitation purposes.  Gravel pits are ideal locations for receiving excess soils.  1) They have gone through stringent approval processes for licencing including studies for: archeology, hydrogeology, natural environment, traffic studies, noise and dust, etc.  They are also monitored and inspected regularly by MNRF inspectors.  Filling gravel pits to pregrade levels should be considered to: avoid bowl like grades; encourage farmland retention; efficient utilization of provincial inspectors; and efficient transportation methods with 2 way haulage. Gravel pits are also ideal candidates for Class 1 receiving sites.  This should be encouraged.</t>
  </si>
  <si>
    <t>If 1) above is not acceptable then need to reduce red tape for Table 1 type soil receiving sites.  Should be similar to EASR process where approvals can be done by a QP in hours not months.</t>
  </si>
  <si>
    <t>Tendered contracts don't give that kind of notice prior to construction requirements.  Thus nearby opportunities won't exist.</t>
  </si>
  <si>
    <t>Extra trucking costs for an additional 1 hour of round trip travel time.</t>
  </si>
  <si>
    <t>Extra for the project to produce a ticket per load of excess soil</t>
  </si>
  <si>
    <t>Extra for the project for the receiving site to administer the excess soil</t>
  </si>
  <si>
    <t>Receiving site could be for 50000 or lowest quantity of 600m3</t>
  </si>
  <si>
    <t>Cost to excavate, sample and report QA/QC</t>
  </si>
  <si>
    <t>QP work</t>
  </si>
  <si>
    <t>QP Work</t>
  </si>
  <si>
    <t>Actual QP Quote</t>
  </si>
  <si>
    <t>+/-25% of actual quote for different projects.</t>
  </si>
  <si>
    <t xml:space="preserve">Mixing, sorting, segregation of soil types and stockpiling on site and traffic control requirements. This slows down production of equipment.   </t>
  </si>
  <si>
    <t>Inability to store soil on neighbouring properties or within Right of Way for reuse requires trucking to and from recieiving or Class 1 site.  In the past soil was at times permitted to be side casted or stored in a nearby yard for reuse.</t>
  </si>
  <si>
    <t>for extra trucking rather than side casting or nearby storage yard.</t>
  </si>
  <si>
    <t>Crew hours = @$750/hr x 10hr/day x 21 working days/month x 6 months of excess soil management per job</t>
  </si>
  <si>
    <t>Low (25%)</t>
  </si>
  <si>
    <t>High (50%)</t>
  </si>
  <si>
    <t>Extra costs for excavation inefficiencies.</t>
  </si>
  <si>
    <t>High rise residential construction</t>
  </si>
  <si>
    <t>300 South Carriage - London (172 units)</t>
  </si>
  <si>
    <t>1 level of underground parking</t>
  </si>
  <si>
    <t>Delay costs</t>
  </si>
  <si>
    <t>units</t>
  </si>
  <si>
    <t>land price</t>
  </si>
  <si>
    <t>land price/unit</t>
  </si>
  <si>
    <t>5 year mortgage rate/25 year ammortization (March 15th)</t>
  </si>
  <si>
    <t>monthly payment</t>
  </si>
  <si>
    <t>total delay cost</t>
  </si>
  <si>
    <t>Total per cu.m</t>
  </si>
  <si>
    <t>Grand Total (25,000 cu.m)</t>
  </si>
  <si>
    <t>Additional Developer staff</t>
  </si>
  <si>
    <t>delay (months)-high delay</t>
  </si>
  <si>
    <t>Civil Engineer (includes contract wording, enforcement)</t>
  </si>
  <si>
    <t>6)</t>
  </si>
  <si>
    <t>Reduce reports required to one simple document</t>
  </si>
  <si>
    <t>Eliminate costly reports that create delays and add costs to housing</t>
  </si>
  <si>
    <t>7)</t>
  </si>
  <si>
    <t>8)</t>
  </si>
  <si>
    <t>9)</t>
  </si>
  <si>
    <t>10)</t>
  </si>
  <si>
    <t xml:space="preserve">Remove MECP soil rules pile size restrictions </t>
  </si>
  <si>
    <t xml:space="preserve">2,500 cu.m piles prevent a landowner from stockpiling enough material onsite to complete cut/fill.  Creates drainage issues between the piles.  </t>
  </si>
  <si>
    <t>More flexibility required at temp sites. Many projects generate more than 10,000 cu.m</t>
  </si>
  <si>
    <t>11)</t>
  </si>
  <si>
    <t>Although not identified in the cost summary due to time constraints, subdivision costs and delays are impacted the most.  There is typically a lot more fill/topsoil to be moved/exported on a subdivision and receiving approvals to import/export can take over a year.  For sites with a significant net shortage, import needs to take place over several years as fill becomes available .  This is a good opportunity for both receiving and exporting sites to reuse fill locally.  Oftentimes, developers/landowners aren't in a position to have the servicing design complete and agreements in place years before the subdivision is ready to be constructed and fill gets hauled away that can be reused locally.  Many municipalities don't have site alteration agreements and need the site/subdivision designed/approved  fully prior to import.</t>
  </si>
  <si>
    <t>Removal of instrument requirement</t>
  </si>
  <si>
    <t>Increase max volumes for temp sites (Soil Rules)</t>
  </si>
  <si>
    <t>Same QP can be used on both project area and reuse site</t>
  </si>
  <si>
    <t>Avoid duplication of work and associated costs</t>
  </si>
  <si>
    <t>12)</t>
  </si>
  <si>
    <t>Liaise with landfills about 2025 change to regulation</t>
  </si>
  <si>
    <t>13)</t>
  </si>
  <si>
    <t>Confirm grandfathering in 2023</t>
  </si>
  <si>
    <t>14)</t>
  </si>
  <si>
    <t>Review wet soil requirements</t>
  </si>
  <si>
    <t>This will add significant costs to SWMF clean outs.  Discuss with municipalities, developers, QPs</t>
  </si>
  <si>
    <t>O. Reg 406/19 has eliminated many reuse sites due to its cumbersome and complex nature resulting in soil being trucked much further (significant environmental impacts).  Municipalities are reluctant to approve reuse sites due to nimbyism, misunderstanding of soil reuse benefits, staging and construction methodology, risk aversion and inexperienced staff.  Creating standard requirements that allow soil import is required to allow soil to be reused locally.</t>
  </si>
  <si>
    <t>15)</t>
  </si>
  <si>
    <t>Less complex regulations that can be understood by all stakeholders in the costruction industry</t>
  </si>
  <si>
    <t>Smaller Contractors, Municipalities and Landowners don't have the sophistication to understand and comply with this regulation</t>
  </si>
  <si>
    <t>Dump site negotiations</t>
  </si>
  <si>
    <t>Increased tipping fees</t>
  </si>
  <si>
    <t>Additional tipping fees/cu.m - assume $40/load</t>
  </si>
  <si>
    <t>Double handling</t>
  </si>
  <si>
    <t>Engineering costs/cu.m</t>
  </si>
  <si>
    <t>Engineering Costs (low end, high end would be double due to smaller Developer inefficiencies)</t>
  </si>
  <si>
    <t>total delay cost/cu.m (25,000 cu.m export high end)</t>
  </si>
  <si>
    <t>total delay cost/cu.m (25,000 cu.m export low end- 1 month delay)</t>
  </si>
  <si>
    <t>Per Apartment</t>
  </si>
  <si>
    <r>
      <rPr>
        <b/>
        <sz val="11"/>
        <color theme="1"/>
        <rFont val="Calibri"/>
        <family val="2"/>
        <scheme val="minor"/>
      </rPr>
      <t>** Confidentia</t>
    </r>
    <r>
      <rPr>
        <sz val="11"/>
        <color theme="1"/>
        <rFont val="Calibri"/>
        <family val="2"/>
        <scheme val="minor"/>
      </rPr>
      <t>l - Geotechnical costs for 25,000 cu.m sampling.  Would be worse in a stockpile</t>
    </r>
  </si>
  <si>
    <t>Reports per cu.m</t>
  </si>
  <si>
    <t>Sampling and analysis/reports - Project area only</t>
  </si>
  <si>
    <t>total</t>
  </si>
  <si>
    <t>Sampling and testing per cu.m</t>
  </si>
  <si>
    <t>(Subdivision)</t>
  </si>
  <si>
    <t>Per Single Family Home</t>
  </si>
  <si>
    <t>Example (high rise)</t>
  </si>
  <si>
    <t>Example (subdivision)</t>
  </si>
  <si>
    <t>Summerside Phase 17 - London (174 units)</t>
  </si>
  <si>
    <t>lots</t>
  </si>
  <si>
    <t>land price/SFH ($1,500,000/acre)</t>
  </si>
  <si>
    <t>total delay cost/cu.m (50,000 cu.m export high end)</t>
  </si>
  <si>
    <t>total delay cost/cu.m (50,000 cu.m export low end- 2 month delay)</t>
  </si>
  <si>
    <t>Grand Total (50,000 cu.m)</t>
  </si>
  <si>
    <t>50,261 Apts-2021 (Starts per CMHC)</t>
  </si>
  <si>
    <t>26,373 SF starts-2021 (per CMHC)</t>
  </si>
  <si>
    <t>Create legislature to make finding  reuse sites and getting reuse site approvals easier instead of more restrictive</t>
  </si>
  <si>
    <r>
      <rPr>
        <b/>
        <sz val="11"/>
        <color theme="1"/>
        <rFont val="Calibri"/>
        <family val="2"/>
        <scheme val="minor"/>
      </rPr>
      <t>** Confidentia</t>
    </r>
    <r>
      <rPr>
        <sz val="11"/>
        <color theme="1"/>
        <rFont val="Calibri"/>
        <family val="2"/>
        <scheme val="minor"/>
      </rPr>
      <t>l - Geotechnical costs for 50,000 cu.m sampling.  Would be worse in a stockpile</t>
    </r>
  </si>
  <si>
    <t xml:space="preserve">Preconstruction Costs </t>
  </si>
  <si>
    <t xml:space="preserve">Construction Costs </t>
  </si>
  <si>
    <t xml:space="preserve">Receiving Site </t>
  </si>
  <si>
    <t>Per m of Road</t>
  </si>
  <si>
    <t>Per m3 of Soil</t>
  </si>
  <si>
    <t>Residential Development - 300 South Carriage - London (172 units)</t>
  </si>
  <si>
    <t>(High rise building - one storey of underground parking)</t>
  </si>
  <si>
    <t>(Approx. 25,000m3 export)</t>
  </si>
  <si>
    <t>(Approx. 50,000m3)</t>
  </si>
  <si>
    <t>Residential Development - Summerside Phase 17 - London (174 units)</t>
  </si>
  <si>
    <t>(Subdivision - approximately 50,000m3 export)</t>
  </si>
  <si>
    <t>If soils are deemed by QP to be Table 1 then considered clean and acceptable anywhere.  Regulations no longer apply and only municipal restrictions come into play.</t>
  </si>
  <si>
    <t>It is our understanding that the soil's characterization can be performed with fewer samples required.  It is also unclear to QPs if the table is to be used for the total volume excavated or for APECs only.  QPs should be able to use discretion for non APEC and a revised, realistic table used for APECs.  Labs and QPs can't keep up with the revised testing requirements and the cost is prohibitive to future home buyers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</si>
</sst>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_-&quot;$&quot;* #,##0_-;\-&quot;$&quot;* #,##0_-;_-&quot;$&quot;* &quot;-&quot;??_-;_-@_-"/>
    <numFmt numFmtId="165" formatCode="&quot;$&quot;#,##0"/>
    <numFmt numFmtId="166" formatCode="&quot;$&quot;#,##0.00"/>
  </numFmts>
  <fonts count="1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4"/>
      <color theme="1"/>
      <name val="Calibri"/>
      <family val="2"/>
      <scheme val="minor"/>
    </font>
    <font>
      <sz val="12"/>
      <color rgb="FF1A1A1A"/>
      <name val="Open Sans"/>
      <family val="2"/>
    </font>
    <font>
      <b/>
      <sz val="16"/>
      <color theme="1"/>
      <name val="Calibri"/>
      <family val="2"/>
      <scheme val="minor"/>
    </font>
    <font>
      <sz val="11"/>
      <color rgb="FFFF0000"/>
      <name val="Calibri"/>
      <family val="2"/>
      <scheme val="minor"/>
    </font>
    <font>
      <b/>
      <u/>
      <sz val="13"/>
      <color theme="3"/>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ck">
        <color theme="4" tint="0.499984740745262"/>
      </bottom>
      <diagonal/>
    </border>
    <border>
      <left style="thin">
        <color indexed="64"/>
      </left>
      <right/>
      <top/>
      <bottom/>
      <diagonal/>
    </border>
    <border>
      <left style="thin">
        <color indexed="64"/>
      </left>
      <right/>
      <top style="thin">
        <color theme="4"/>
      </top>
      <bottom style="double">
        <color theme="4"/>
      </bottom>
      <diagonal/>
    </border>
    <border>
      <left style="thin">
        <color indexed="64"/>
      </left>
      <right/>
      <top style="thick">
        <color theme="4" tint="0.499984740745262"/>
      </top>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right style="medium">
        <color indexed="64"/>
      </right>
      <top style="medium">
        <color indexed="64"/>
      </top>
      <bottom style="thick">
        <color theme="4" tint="0.499984740745262"/>
      </bottom>
      <diagonal/>
    </border>
    <border>
      <left/>
      <right style="medium">
        <color indexed="64"/>
      </right>
      <top style="thick">
        <color theme="4" tint="0.499984740745262"/>
      </top>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style="medium">
        <color indexed="64"/>
      </left>
      <right/>
      <top/>
      <bottom style="double">
        <color theme="4"/>
      </bottom>
      <diagonal/>
    </border>
    <border>
      <left/>
      <right style="medium">
        <color indexed="64"/>
      </right>
      <top/>
      <bottom style="double">
        <color theme="4"/>
      </bottom>
      <diagonal/>
    </border>
    <border>
      <left style="medium">
        <color indexed="64"/>
      </left>
      <right/>
      <top style="thin">
        <color theme="4"/>
      </top>
      <bottom style="double">
        <color theme="4"/>
      </bottom>
      <diagonal/>
    </border>
    <border>
      <left/>
      <right style="medium">
        <color indexed="64"/>
      </right>
      <top style="thin">
        <color theme="4"/>
      </top>
      <bottom style="double">
        <color theme="4"/>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style="medium">
        <color indexed="64"/>
      </left>
      <right/>
      <top style="medium">
        <color indexed="64"/>
      </top>
      <bottom style="thick">
        <color theme="4" tint="0.499984740745262"/>
      </bottom>
      <diagonal/>
    </border>
    <border>
      <left style="medium">
        <color indexed="64"/>
      </left>
      <right/>
      <top style="thick">
        <color theme="4" tint="0.499984740745262"/>
      </top>
      <bottom/>
      <diagonal/>
    </border>
    <border>
      <left style="thin">
        <color indexed="64"/>
      </left>
      <right style="medium">
        <color auto="1"/>
      </right>
      <top/>
      <bottom/>
      <diagonal/>
    </border>
    <border>
      <left style="medium">
        <color indexed="64"/>
      </left>
      <right style="medium">
        <color indexed="64"/>
      </right>
      <top style="medium">
        <color indexed="64"/>
      </top>
      <bottom style="double">
        <color theme="4"/>
      </bottom>
      <diagonal/>
    </border>
    <border>
      <left style="medium">
        <color indexed="64"/>
      </left>
      <right style="medium">
        <color indexed="64"/>
      </right>
      <top/>
      <bottom/>
      <diagonal/>
    </border>
    <border>
      <left style="medium">
        <color indexed="64"/>
      </left>
      <right style="medium">
        <color indexed="64"/>
      </right>
      <top style="thin">
        <color theme="4"/>
      </top>
      <bottom style="double">
        <color theme="4"/>
      </bottom>
      <diagonal/>
    </border>
    <border>
      <left style="medium">
        <color indexed="64"/>
      </left>
      <right style="medium">
        <color indexed="64"/>
      </right>
      <top style="thin">
        <color theme="4"/>
      </top>
      <bottom style="medium">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14" fillId="0" borderId="0" applyNumberFormat="0" applyFill="0" applyBorder="0" applyAlignment="0" applyProtection="0"/>
  </cellStyleXfs>
  <cellXfs count="194">
    <xf numFmtId="0" fontId="0" fillId="0" borderId="0" xfId="0"/>
    <xf numFmtId="0" fontId="2" fillId="0" borderId="0" xfId="2" applyAlignment="1">
      <alignment horizontal="center"/>
    </xf>
    <xf numFmtId="0" fontId="0" fillId="0" borderId="0" xfId="0" applyAlignment="1">
      <alignment horizontal="center"/>
    </xf>
    <xf numFmtId="0" fontId="0" fillId="0" borderId="0" xfId="0" applyAlignment="1"/>
    <xf numFmtId="44" fontId="0" fillId="0" borderId="0" xfId="1" applyFont="1"/>
    <xf numFmtId="44" fontId="0" fillId="0" borderId="0" xfId="0" applyNumberFormat="1"/>
    <xf numFmtId="0" fontId="0" fillId="0" borderId="5" xfId="0" applyBorder="1"/>
    <xf numFmtId="0" fontId="0" fillId="0" borderId="6" xfId="0" applyBorder="1"/>
    <xf numFmtId="0" fontId="0" fillId="0" borderId="7" xfId="0" applyBorder="1"/>
    <xf numFmtId="44" fontId="0" fillId="0" borderId="8" xfId="1" applyFont="1" applyBorder="1"/>
    <xf numFmtId="0" fontId="0" fillId="0" borderId="0" xfId="0" applyBorder="1"/>
    <xf numFmtId="0" fontId="0" fillId="0" borderId="9" xfId="0" applyBorder="1"/>
    <xf numFmtId="44" fontId="0" fillId="0" borderId="8" xfId="0" applyNumberFormat="1" applyBorder="1"/>
    <xf numFmtId="44" fontId="0" fillId="0" borderId="10" xfId="0" applyNumberFormat="1" applyBorder="1"/>
    <xf numFmtId="0" fontId="0" fillId="0" borderId="11" xfId="0" applyBorder="1"/>
    <xf numFmtId="0" fontId="0" fillId="0" borderId="12" xfId="0" applyBorder="1"/>
    <xf numFmtId="0" fontId="0" fillId="0" borderId="8" xfId="0" applyBorder="1"/>
    <xf numFmtId="44" fontId="0" fillId="0" borderId="0" xfId="1" applyFont="1" applyBorder="1"/>
    <xf numFmtId="44" fontId="0" fillId="0" borderId="0" xfId="0" applyNumberFormat="1" applyBorder="1"/>
    <xf numFmtId="0" fontId="0" fillId="0" borderId="10" xfId="0" applyBorder="1"/>
    <xf numFmtId="44" fontId="0" fillId="0" borderId="11" xfId="0" applyNumberFormat="1" applyBorder="1"/>
    <xf numFmtId="0" fontId="7" fillId="0" borderId="0" xfId="0" applyFont="1" applyBorder="1"/>
    <xf numFmtId="0" fontId="5" fillId="0" borderId="3" xfId="5"/>
    <xf numFmtId="0" fontId="0" fillId="0" borderId="0" xfId="0" quotePrefix="1" applyBorder="1"/>
    <xf numFmtId="9" fontId="0" fillId="0" borderId="0" xfId="0" applyNumberFormat="1" applyBorder="1"/>
    <xf numFmtId="0" fontId="6" fillId="0" borderId="4" xfId="6"/>
    <xf numFmtId="44" fontId="6" fillId="0" borderId="4" xfId="6" applyNumberFormat="1"/>
    <xf numFmtId="6" fontId="0" fillId="0" borderId="0" xfId="0" applyNumberFormat="1" applyBorder="1"/>
    <xf numFmtId="0" fontId="6" fillId="0" borderId="4" xfId="6" applyBorder="1"/>
    <xf numFmtId="44" fontId="6" fillId="0" borderId="4" xfId="6" applyNumberFormat="1" applyBorder="1"/>
    <xf numFmtId="0" fontId="6" fillId="0" borderId="4" xfId="6" applyAlignment="1"/>
    <xf numFmtId="44" fontId="0" fillId="0" borderId="0" xfId="0" applyNumberFormat="1" applyAlignment="1">
      <alignment vertical="center"/>
    </xf>
    <xf numFmtId="0" fontId="3" fillId="0" borderId="1" xfId="3" applyAlignment="1"/>
    <xf numFmtId="0" fontId="3" fillId="0" borderId="1" xfId="3"/>
    <xf numFmtId="0" fontId="6" fillId="0" borderId="0" xfId="0" applyFont="1" applyAlignment="1"/>
    <xf numFmtId="0" fontId="4" fillId="0" borderId="2" xfId="4" applyAlignment="1"/>
    <xf numFmtId="0" fontId="4" fillId="0" borderId="2" xfId="4"/>
    <xf numFmtId="0" fontId="4" fillId="0" borderId="2" xfId="4" applyAlignment="1">
      <alignment horizontal="center"/>
    </xf>
    <xf numFmtId="0" fontId="4" fillId="0" borderId="13" xfId="4" applyBorder="1" applyAlignment="1">
      <alignment horizontal="center"/>
    </xf>
    <xf numFmtId="0" fontId="4" fillId="0" borderId="2" xfId="4" applyBorder="1" applyAlignment="1">
      <alignment horizontal="center"/>
    </xf>
    <xf numFmtId="44" fontId="0" fillId="0" borderId="14" xfId="0" applyNumberFormat="1" applyBorder="1" applyAlignment="1">
      <alignment vertical="center"/>
    </xf>
    <xf numFmtId="44" fontId="0" fillId="0" borderId="0" xfId="0" applyNumberFormat="1" applyBorder="1" applyAlignment="1">
      <alignment vertical="center"/>
    </xf>
    <xf numFmtId="44" fontId="0" fillId="0" borderId="14" xfId="0" applyNumberFormat="1" applyBorder="1"/>
    <xf numFmtId="44" fontId="0" fillId="0" borderId="14" xfId="1" applyFont="1" applyBorder="1"/>
    <xf numFmtId="44" fontId="6" fillId="0" borderId="15" xfId="6" applyNumberFormat="1" applyBorder="1"/>
    <xf numFmtId="0" fontId="0" fillId="0" borderId="14" xfId="0" applyBorder="1"/>
    <xf numFmtId="44" fontId="0" fillId="0" borderId="16" xfId="0" applyNumberFormat="1" applyBorder="1"/>
    <xf numFmtId="0" fontId="9" fillId="0" borderId="4" xfId="6" applyFont="1"/>
    <xf numFmtId="44" fontId="9" fillId="0" borderId="4" xfId="6" applyNumberFormat="1" applyFont="1"/>
    <xf numFmtId="0" fontId="11" fillId="0" borderId="4" xfId="6" applyFont="1"/>
    <xf numFmtId="164" fontId="11" fillId="0" borderId="4" xfId="6" applyNumberFormat="1" applyFont="1"/>
    <xf numFmtId="0" fontId="10" fillId="0" borderId="0" xfId="0" applyFont="1" applyAlignment="1">
      <alignment horizontal="center"/>
    </xf>
    <xf numFmtId="9" fontId="11" fillId="0" borderId="4" xfId="6" applyNumberFormat="1" applyFont="1"/>
    <xf numFmtId="164" fontId="0" fillId="0" borderId="0" xfId="1" applyNumberFormat="1" applyFont="1"/>
    <xf numFmtId="164" fontId="0" fillId="0" borderId="0" xfId="1" applyNumberFormat="1" applyFont="1" applyFill="1"/>
    <xf numFmtId="0" fontId="0" fillId="0" borderId="0" xfId="0" applyFill="1"/>
    <xf numFmtId="0" fontId="0" fillId="0" borderId="0" xfId="0" applyBorder="1" applyAlignment="1">
      <alignment horizontal="right"/>
    </xf>
    <xf numFmtId="0" fontId="0" fillId="2" borderId="0" xfId="0" applyFill="1"/>
    <xf numFmtId="3" fontId="0" fillId="0" borderId="0" xfId="0" applyNumberFormat="1"/>
    <xf numFmtId="165" fontId="0" fillId="0" borderId="0" xfId="0" applyNumberFormat="1"/>
    <xf numFmtId="166" fontId="0" fillId="0" borderId="0" xfId="0" applyNumberFormat="1"/>
    <xf numFmtId="44" fontId="0" fillId="0" borderId="14" xfId="0" applyNumberFormat="1" applyFill="1" applyBorder="1"/>
    <xf numFmtId="0" fontId="0" fillId="0" borderId="0" xfId="0" applyFill="1" applyAlignment="1"/>
    <xf numFmtId="44" fontId="0" fillId="0" borderId="0" xfId="0" applyNumberFormat="1" applyFill="1"/>
    <xf numFmtId="0" fontId="6" fillId="0" borderId="4" xfId="6" applyFill="1" applyAlignment="1"/>
    <xf numFmtId="0" fontId="6" fillId="0" borderId="4" xfId="6" applyFill="1"/>
    <xf numFmtId="44" fontId="6" fillId="0" borderId="15" xfId="6" applyNumberFormat="1" applyFill="1" applyBorder="1"/>
    <xf numFmtId="44" fontId="6" fillId="0" borderId="4" xfId="6" applyNumberFormat="1" applyFill="1"/>
    <xf numFmtId="0" fontId="4" fillId="0" borderId="2" xfId="4" applyFill="1" applyAlignment="1"/>
    <xf numFmtId="0" fontId="4" fillId="0" borderId="2" xfId="4" applyFill="1"/>
    <xf numFmtId="44" fontId="0" fillId="0" borderId="16" xfId="0" applyNumberFormat="1" applyFill="1" applyBorder="1"/>
    <xf numFmtId="44" fontId="0" fillId="0" borderId="14" xfId="1" applyFont="1" applyFill="1" applyBorder="1"/>
    <xf numFmtId="44" fontId="0" fillId="0" borderId="0" xfId="1" applyFont="1" applyFill="1"/>
    <xf numFmtId="44" fontId="0" fillId="0" borderId="0" xfId="1" applyFont="1" applyFill="1" applyBorder="1"/>
    <xf numFmtId="0" fontId="11" fillId="0" borderId="0" xfId="6" applyFont="1" applyBorder="1"/>
    <xf numFmtId="9" fontId="11" fillId="0" borderId="0" xfId="6" applyNumberFormat="1" applyFont="1" applyBorder="1"/>
    <xf numFmtId="164" fontId="11" fillId="0" borderId="0" xfId="6" applyNumberFormat="1" applyFont="1" applyBorder="1"/>
    <xf numFmtId="0" fontId="12" fillId="0" borderId="0" xfId="0" applyFont="1" applyAlignment="1">
      <alignment horizontal="right" vertical="top"/>
    </xf>
    <xf numFmtId="0" fontId="12" fillId="0" borderId="0" xfId="0" applyFont="1"/>
    <xf numFmtId="0" fontId="6" fillId="0" borderId="0" xfId="0" applyFont="1"/>
    <xf numFmtId="0" fontId="6" fillId="0" borderId="0" xfId="0" applyFont="1" applyFill="1"/>
    <xf numFmtId="44" fontId="0" fillId="0" borderId="0" xfId="0" applyNumberFormat="1" applyFill="1" applyBorder="1"/>
    <xf numFmtId="44" fontId="0" fillId="0" borderId="14" xfId="0" applyNumberFormat="1" applyFill="1" applyBorder="1" applyAlignment="1">
      <alignment vertical="center"/>
    </xf>
    <xf numFmtId="0" fontId="4" fillId="0" borderId="13" xfId="4" applyBorder="1" applyAlignment="1">
      <alignment horizontal="center"/>
    </xf>
    <xf numFmtId="0" fontId="4" fillId="0" borderId="2" xfId="4" applyBorder="1" applyAlignment="1">
      <alignment horizontal="center"/>
    </xf>
    <xf numFmtId="0" fontId="5" fillId="0" borderId="0" xfId="5" applyBorder="1"/>
    <xf numFmtId="0" fontId="0" fillId="0" borderId="17" xfId="0" applyBorder="1" applyAlignment="1">
      <alignment horizontal="right" vertical="top"/>
    </xf>
    <xf numFmtId="0" fontId="0" fillId="0" borderId="17" xfId="0" applyBorder="1" applyAlignment="1">
      <alignment vertical="top" wrapText="1"/>
    </xf>
    <xf numFmtId="166" fontId="0" fillId="2" borderId="0" xfId="0" applyNumberFormat="1" applyFill="1"/>
    <xf numFmtId="0" fontId="0" fillId="0" borderId="14" xfId="0" applyFill="1" applyBorder="1"/>
    <xf numFmtId="0" fontId="4" fillId="0" borderId="13" xfId="4" applyBorder="1" applyAlignment="1">
      <alignment horizontal="center"/>
    </xf>
    <xf numFmtId="0" fontId="4" fillId="0" borderId="2" xfId="4" applyBorder="1" applyAlignment="1">
      <alignment horizontal="center"/>
    </xf>
    <xf numFmtId="0" fontId="4" fillId="0" borderId="2" xfId="4" applyAlignment="1">
      <alignment horizontal="center"/>
    </xf>
    <xf numFmtId="0" fontId="0" fillId="0" borderId="0" xfId="0" applyBorder="1" applyAlignment="1"/>
    <xf numFmtId="0" fontId="0" fillId="0" borderId="0" xfId="0" applyFill="1" applyBorder="1"/>
    <xf numFmtId="0" fontId="11" fillId="0" borderId="4" xfId="6" applyFont="1" applyBorder="1"/>
    <xf numFmtId="0" fontId="4" fillId="0" borderId="0" xfId="4" applyBorder="1" applyAlignment="1"/>
    <xf numFmtId="0" fontId="4" fillId="0" borderId="0" xfId="4" applyBorder="1"/>
    <xf numFmtId="0" fontId="6" fillId="0" borderId="0" xfId="6" applyBorder="1"/>
    <xf numFmtId="0" fontId="6" fillId="0" borderId="0" xfId="6" applyFill="1" applyBorder="1"/>
    <xf numFmtId="0" fontId="4" fillId="0" borderId="0" xfId="4" applyFill="1" applyBorder="1"/>
    <xf numFmtId="0" fontId="9" fillId="0" borderId="18" xfId="6" applyFont="1" applyBorder="1"/>
    <xf numFmtId="0" fontId="0" fillId="0" borderId="5" xfId="0" applyBorder="1" applyAlignment="1"/>
    <xf numFmtId="0" fontId="0" fillId="0" borderId="6" xfId="0" applyBorder="1" applyAlignment="1"/>
    <xf numFmtId="0" fontId="4" fillId="0" borderId="8" xfId="4" applyBorder="1" applyAlignment="1"/>
    <xf numFmtId="0" fontId="13" fillId="0" borderId="20" xfId="4" applyFont="1" applyBorder="1" applyAlignment="1">
      <alignment horizontal="center"/>
    </xf>
    <xf numFmtId="0" fontId="0" fillId="0" borderId="8" xfId="0" applyBorder="1" applyAlignment="1"/>
    <xf numFmtId="44" fontId="0" fillId="0" borderId="9" xfId="0" applyNumberFormat="1" applyFill="1" applyBorder="1" applyAlignment="1">
      <alignment vertical="center"/>
    </xf>
    <xf numFmtId="44" fontId="0" fillId="0" borderId="9" xfId="0" applyNumberFormat="1" applyFill="1" applyBorder="1"/>
    <xf numFmtId="44" fontId="0" fillId="0" borderId="9" xfId="1" applyFont="1" applyFill="1" applyBorder="1"/>
    <xf numFmtId="0" fontId="6" fillId="0" borderId="8" xfId="6" applyBorder="1" applyAlignment="1"/>
    <xf numFmtId="0" fontId="0" fillId="0" borderId="8" xfId="0" applyFill="1" applyBorder="1" applyAlignment="1"/>
    <xf numFmtId="0" fontId="6" fillId="0" borderId="8" xfId="6" applyFill="1" applyBorder="1" applyAlignment="1"/>
    <xf numFmtId="0" fontId="4" fillId="0" borderId="8" xfId="4" applyFill="1" applyBorder="1" applyAlignment="1"/>
    <xf numFmtId="0" fontId="3" fillId="0" borderId="21" xfId="3" applyBorder="1" applyAlignment="1"/>
    <xf numFmtId="0" fontId="3" fillId="0" borderId="22" xfId="3" applyBorder="1" applyAlignment="1"/>
    <xf numFmtId="0" fontId="3" fillId="0" borderId="22" xfId="3" applyBorder="1"/>
    <xf numFmtId="0" fontId="3" fillId="0" borderId="23" xfId="3" applyBorder="1"/>
    <xf numFmtId="0" fontId="6" fillId="0" borderId="8" xfId="0" applyFont="1" applyBorder="1" applyAlignment="1"/>
    <xf numFmtId="0" fontId="9" fillId="0" borderId="24" xfId="6" applyFont="1" applyBorder="1"/>
    <xf numFmtId="0" fontId="11" fillId="0" borderId="26" xfId="6" applyFont="1" applyBorder="1"/>
    <xf numFmtId="3" fontId="0" fillId="0" borderId="8" xfId="0" applyNumberFormat="1" applyBorder="1"/>
    <xf numFmtId="0" fontId="11" fillId="0" borderId="28" xfId="6" applyFont="1" applyBorder="1"/>
    <xf numFmtId="0" fontId="11" fillId="0" borderId="29" xfId="6" applyFont="1" applyBorder="1"/>
    <xf numFmtId="0" fontId="13" fillId="0" borderId="32" xfId="4" applyFont="1" applyBorder="1" applyAlignment="1">
      <alignment horizontal="center"/>
    </xf>
    <xf numFmtId="44" fontId="0" fillId="0" borderId="8" xfId="0" applyNumberFormat="1" applyFill="1" applyBorder="1" applyAlignment="1">
      <alignment vertical="center"/>
    </xf>
    <xf numFmtId="44" fontId="0" fillId="0" borderId="8" xfId="0" applyNumberFormat="1" applyFill="1" applyBorder="1"/>
    <xf numFmtId="44" fontId="0" fillId="0" borderId="8" xfId="1" applyFont="1" applyFill="1" applyBorder="1"/>
    <xf numFmtId="44" fontId="0" fillId="0" borderId="33" xfId="0" applyNumberFormat="1" applyFill="1" applyBorder="1" applyAlignment="1">
      <alignment vertical="center"/>
    </xf>
    <xf numFmtId="44" fontId="6" fillId="0" borderId="4" xfId="6" applyNumberFormat="1" applyAlignment="1"/>
    <xf numFmtId="44" fontId="0" fillId="0" borderId="0" xfId="0" applyNumberFormat="1" applyAlignment="1"/>
    <xf numFmtId="44" fontId="0" fillId="0" borderId="0" xfId="0" applyNumberFormat="1" applyFill="1" applyAlignment="1"/>
    <xf numFmtId="44" fontId="6" fillId="0" borderId="4" xfId="6" applyNumberFormat="1" applyFill="1" applyAlignment="1"/>
    <xf numFmtId="44" fontId="9" fillId="0" borderId="4" xfId="6" applyNumberFormat="1" applyFont="1" applyAlignment="1"/>
    <xf numFmtId="166" fontId="6" fillId="0" borderId="8" xfId="6" applyNumberFormat="1" applyBorder="1" applyAlignment="1">
      <alignment horizontal="center" vertical="center"/>
    </xf>
    <xf numFmtId="166" fontId="6" fillId="0" borderId="9" xfId="6" applyNumberFormat="1" applyBorder="1" applyAlignment="1">
      <alignment horizontal="center" vertical="center"/>
    </xf>
    <xf numFmtId="166" fontId="0" fillId="0" borderId="8" xfId="0" applyNumberFormat="1" applyBorder="1" applyAlignment="1">
      <alignment horizontal="center" vertical="center"/>
    </xf>
    <xf numFmtId="166" fontId="0" fillId="0" borderId="9" xfId="0" applyNumberFormat="1" applyBorder="1" applyAlignment="1">
      <alignment horizontal="center" vertical="center"/>
    </xf>
    <xf numFmtId="166" fontId="4" fillId="0" borderId="8" xfId="4" applyNumberFormat="1" applyBorder="1" applyAlignment="1">
      <alignment horizontal="center" vertical="center"/>
    </xf>
    <xf numFmtId="166" fontId="4" fillId="0" borderId="9" xfId="4" applyNumberFormat="1" applyBorder="1" applyAlignment="1">
      <alignment horizontal="center" vertical="center"/>
    </xf>
    <xf numFmtId="166" fontId="0" fillId="0" borderId="8" xfId="0" applyNumberFormat="1" applyFill="1" applyBorder="1" applyAlignment="1">
      <alignment horizontal="center" vertical="center"/>
    </xf>
    <xf numFmtId="166" fontId="0" fillId="0" borderId="9" xfId="0" applyNumberFormat="1" applyFill="1" applyBorder="1" applyAlignment="1">
      <alignment horizontal="center" vertical="center"/>
    </xf>
    <xf numFmtId="166" fontId="6" fillId="0" borderId="8" xfId="6" applyNumberFormat="1" applyFill="1" applyBorder="1" applyAlignment="1">
      <alignment horizontal="center" vertical="center"/>
    </xf>
    <xf numFmtId="166" fontId="6" fillId="0" borderId="9" xfId="6" applyNumberFormat="1" applyFill="1" applyBorder="1" applyAlignment="1">
      <alignment horizontal="center" vertical="center"/>
    </xf>
    <xf numFmtId="166" fontId="4" fillId="0" borderId="8" xfId="4" applyNumberFormat="1" applyFill="1" applyBorder="1" applyAlignment="1">
      <alignment horizontal="center" vertical="center"/>
    </xf>
    <xf numFmtId="166" fontId="4" fillId="0" borderId="9" xfId="4" applyNumberFormat="1" applyFill="1" applyBorder="1" applyAlignment="1">
      <alignment horizontal="center" vertical="center"/>
    </xf>
    <xf numFmtId="166" fontId="0" fillId="0" borderId="8" xfId="1" applyNumberFormat="1" applyFont="1" applyFill="1" applyBorder="1" applyAlignment="1">
      <alignment horizontal="center" vertical="center"/>
    </xf>
    <xf numFmtId="166" fontId="0" fillId="0" borderId="9" xfId="1" applyNumberFormat="1" applyFont="1" applyFill="1" applyBorder="1" applyAlignment="1">
      <alignment horizontal="center" vertical="center"/>
    </xf>
    <xf numFmtId="166" fontId="0" fillId="0" borderId="10" xfId="0" applyNumberFormat="1" applyBorder="1" applyAlignment="1">
      <alignment horizontal="center" vertical="center"/>
    </xf>
    <xf numFmtId="166" fontId="0" fillId="0" borderId="12" xfId="0" applyNumberFormat="1" applyBorder="1" applyAlignment="1">
      <alignment horizontal="center" vertical="center"/>
    </xf>
    <xf numFmtId="166" fontId="6" fillId="0" borderId="8" xfId="6" applyNumberFormat="1" applyBorder="1" applyAlignment="1">
      <alignment horizontal="center"/>
    </xf>
    <xf numFmtId="166" fontId="6" fillId="0" borderId="9" xfId="6" applyNumberFormat="1" applyBorder="1" applyAlignment="1">
      <alignment horizontal="center"/>
    </xf>
    <xf numFmtId="166" fontId="0" fillId="0" borderId="8" xfId="0" applyNumberFormat="1" applyBorder="1" applyAlignment="1">
      <alignment horizontal="center"/>
    </xf>
    <xf numFmtId="166" fontId="0" fillId="0" borderId="9" xfId="0" applyNumberFormat="1" applyBorder="1" applyAlignment="1">
      <alignment horizontal="center"/>
    </xf>
    <xf numFmtId="166" fontId="4" fillId="0" borderId="8" xfId="4" applyNumberFormat="1" applyBorder="1" applyAlignment="1">
      <alignment horizontal="center"/>
    </xf>
    <xf numFmtId="166" fontId="4" fillId="0" borderId="9" xfId="4" applyNumberFormat="1" applyBorder="1" applyAlignment="1">
      <alignment horizontal="center"/>
    </xf>
    <xf numFmtId="166" fontId="0" fillId="0" borderId="8" xfId="0" applyNumberFormat="1" applyFill="1" applyBorder="1" applyAlignment="1">
      <alignment horizontal="center"/>
    </xf>
    <xf numFmtId="166" fontId="0" fillId="0" borderId="9" xfId="0" applyNumberFormat="1" applyFill="1" applyBorder="1" applyAlignment="1">
      <alignment horizontal="center"/>
    </xf>
    <xf numFmtId="166" fontId="6" fillId="0" borderId="8" xfId="6" applyNumberFormat="1" applyFill="1" applyBorder="1" applyAlignment="1">
      <alignment horizontal="center"/>
    </xf>
    <xf numFmtId="166" fontId="6" fillId="0" borderId="9" xfId="6" applyNumberFormat="1" applyFill="1" applyBorder="1" applyAlignment="1">
      <alignment horizontal="center"/>
    </xf>
    <xf numFmtId="166" fontId="4" fillId="0" borderId="8" xfId="4" applyNumberFormat="1" applyFill="1" applyBorder="1" applyAlignment="1">
      <alignment horizontal="center"/>
    </xf>
    <xf numFmtId="166" fontId="4" fillId="0" borderId="9" xfId="4" applyNumberFormat="1" applyFill="1" applyBorder="1" applyAlignment="1">
      <alignment horizontal="center"/>
    </xf>
    <xf numFmtId="166" fontId="0" fillId="0" borderId="8" xfId="1" applyNumberFormat="1" applyFont="1" applyFill="1" applyBorder="1" applyAlignment="1">
      <alignment horizontal="center"/>
    </xf>
    <xf numFmtId="166" fontId="0" fillId="0" borderId="9" xfId="1" applyNumberFormat="1" applyFont="1" applyFill="1" applyBorder="1" applyAlignment="1">
      <alignment horizontal="center"/>
    </xf>
    <xf numFmtId="166" fontId="0" fillId="0" borderId="10" xfId="0" applyNumberFormat="1" applyBorder="1" applyAlignment="1">
      <alignment horizontal="center"/>
    </xf>
    <xf numFmtId="166" fontId="0" fillId="0" borderId="12" xfId="0" applyNumberFormat="1" applyBorder="1" applyAlignment="1">
      <alignment horizontal="center"/>
    </xf>
    <xf numFmtId="166" fontId="9" fillId="0" borderId="18" xfId="6" applyNumberFormat="1" applyFont="1" applyBorder="1" applyAlignment="1">
      <alignment horizontal="center"/>
    </xf>
    <xf numFmtId="166" fontId="9" fillId="0" borderId="25" xfId="6" applyNumberFormat="1" applyFont="1" applyBorder="1" applyAlignment="1">
      <alignment horizontal="center"/>
    </xf>
    <xf numFmtId="166" fontId="0" fillId="0" borderId="0" xfId="0" applyNumberFormat="1" applyBorder="1" applyAlignment="1">
      <alignment horizontal="center"/>
    </xf>
    <xf numFmtId="166" fontId="11" fillId="0" borderId="4" xfId="6" applyNumberFormat="1" applyFont="1" applyBorder="1" applyAlignment="1">
      <alignment horizontal="center"/>
    </xf>
    <xf numFmtId="166" fontId="11" fillId="0" borderId="27" xfId="6" applyNumberFormat="1" applyFont="1" applyBorder="1" applyAlignment="1">
      <alignment horizontal="center"/>
    </xf>
    <xf numFmtId="166" fontId="11" fillId="0" borderId="29" xfId="6" applyNumberFormat="1" applyFont="1" applyBorder="1" applyAlignment="1">
      <alignment horizontal="center"/>
    </xf>
    <xf numFmtId="166" fontId="11" fillId="0" borderId="30" xfId="6" applyNumberFormat="1" applyFont="1" applyBorder="1" applyAlignment="1">
      <alignment horizontal="center"/>
    </xf>
    <xf numFmtId="166" fontId="9" fillId="0" borderId="34" xfId="6" applyNumberFormat="1" applyFont="1" applyBorder="1" applyAlignment="1">
      <alignment horizontal="center" vertical="center"/>
    </xf>
    <xf numFmtId="166" fontId="0" fillId="0" borderId="35" xfId="0" applyNumberFormat="1" applyBorder="1" applyAlignment="1">
      <alignment horizontal="center" vertical="center"/>
    </xf>
    <xf numFmtId="166" fontId="11" fillId="0" borderId="36" xfId="6" applyNumberFormat="1" applyFont="1" applyBorder="1" applyAlignment="1">
      <alignment horizontal="center" vertical="center"/>
    </xf>
    <xf numFmtId="166" fontId="11" fillId="0" borderId="37" xfId="6" applyNumberFormat="1" applyFont="1" applyBorder="1" applyAlignment="1">
      <alignment horizontal="center" vertical="center"/>
    </xf>
    <xf numFmtId="0" fontId="14" fillId="0" borderId="0" xfId="7" applyAlignment="1">
      <alignment horizontal="center"/>
    </xf>
    <xf numFmtId="0" fontId="8" fillId="0" borderId="17" xfId="0" applyFont="1" applyBorder="1" applyAlignment="1">
      <alignment vertical="top"/>
    </xf>
    <xf numFmtId="0" fontId="8" fillId="0" borderId="17" xfId="0" applyFont="1" applyBorder="1" applyAlignment="1">
      <alignment vertical="top" wrapText="1"/>
    </xf>
    <xf numFmtId="0" fontId="8" fillId="0" borderId="17" xfId="0" applyFont="1" applyFill="1" applyBorder="1" applyAlignment="1">
      <alignment vertical="top"/>
    </xf>
    <xf numFmtId="0" fontId="8" fillId="0" borderId="17" xfId="0" applyFont="1" applyFill="1" applyBorder="1" applyAlignment="1">
      <alignment vertical="top" wrapText="1"/>
    </xf>
    <xf numFmtId="0" fontId="8" fillId="0" borderId="17" xfId="0" applyFont="1" applyBorder="1" applyAlignment="1">
      <alignment wrapText="1"/>
    </xf>
    <xf numFmtId="0" fontId="8" fillId="0" borderId="17" xfId="0" applyFont="1" applyBorder="1"/>
    <xf numFmtId="0" fontId="8" fillId="0" borderId="17" xfId="0" applyFont="1" applyBorder="1" applyAlignment="1">
      <alignment horizontal="left" vertical="top" wrapText="1"/>
    </xf>
    <xf numFmtId="20" fontId="8" fillId="0" borderId="17" xfId="0" applyNumberFormat="1" applyFont="1" applyFill="1" applyBorder="1" applyAlignment="1">
      <alignment horizontal="right" vertical="top"/>
    </xf>
    <xf numFmtId="0" fontId="8" fillId="0" borderId="17" xfId="0" applyFont="1" applyFill="1" applyBorder="1" applyAlignment="1">
      <alignment horizontal="right" vertical="top"/>
    </xf>
    <xf numFmtId="0" fontId="8" fillId="0" borderId="17" xfId="0" applyFont="1" applyBorder="1" applyAlignment="1">
      <alignment horizontal="right" vertical="top"/>
    </xf>
    <xf numFmtId="0" fontId="4" fillId="0" borderId="13" xfId="4" applyBorder="1" applyAlignment="1">
      <alignment horizontal="center"/>
    </xf>
    <xf numFmtId="0" fontId="4" fillId="0" borderId="2" xfId="4" applyBorder="1" applyAlignment="1">
      <alignment horizontal="center"/>
    </xf>
    <xf numFmtId="0" fontId="4" fillId="0" borderId="2" xfId="4" applyAlignment="1">
      <alignment horizontal="center"/>
    </xf>
    <xf numFmtId="0" fontId="7" fillId="0" borderId="0" xfId="0" applyFont="1" applyBorder="1" applyAlignment="1">
      <alignment horizontal="center"/>
    </xf>
    <xf numFmtId="0" fontId="4" fillId="0" borderId="31" xfId="4" applyBorder="1" applyAlignment="1">
      <alignment horizontal="center"/>
    </xf>
    <xf numFmtId="0" fontId="4" fillId="0" borderId="19" xfId="4" applyBorder="1" applyAlignment="1">
      <alignment horizontal="center"/>
    </xf>
  </cellXfs>
  <cellStyles count="8">
    <cellStyle name="Currency" xfId="1" builtinId="4"/>
    <cellStyle name="Heading 1" xfId="3" builtinId="16"/>
    <cellStyle name="Heading 2" xfId="4" builtinId="17"/>
    <cellStyle name="Heading 3" xfId="5" builtinId="18"/>
    <cellStyle name="Hyperlink" xfId="7" builtinId="8"/>
    <cellStyle name="Normal" xfId="0" builtinId="0"/>
    <cellStyle name="Title" xfId="2" builtinId="1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4.tmp"/><Relationship Id="rId1" Type="http://schemas.openxmlformats.org/officeDocument/2006/relationships/image" Target="../media/image3.tmp"/></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85</xdr:row>
      <xdr:rowOff>45720</xdr:rowOff>
    </xdr:from>
    <xdr:to>
      <xdr:col>6</xdr:col>
      <xdr:colOff>206023</xdr:colOff>
      <xdr:row>95</xdr:row>
      <xdr:rowOff>91603</xdr:rowOff>
    </xdr:to>
    <xdr:pic>
      <xdr:nvPicPr>
        <xdr:cNvPr id="3" name="Picture 2">
          <a:extLst>
            <a:ext uri="{FF2B5EF4-FFF2-40B4-BE49-F238E27FC236}">
              <a16:creationId xmlns:a16="http://schemas.microsoft.com/office/drawing/2014/main" id="{03636840-4A6E-45ED-852D-6D0EEF457E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0080" y="17167860"/>
          <a:ext cx="3269263" cy="1882303"/>
        </a:xfrm>
        <a:prstGeom prst="rect">
          <a:avLst/>
        </a:prstGeom>
      </xdr:spPr>
    </xdr:pic>
    <xdr:clientData/>
  </xdr:twoCellAnchor>
  <xdr:twoCellAnchor editAs="oneCell">
    <xdr:from>
      <xdr:col>0</xdr:col>
      <xdr:colOff>571500</xdr:colOff>
      <xdr:row>83</xdr:row>
      <xdr:rowOff>44621</xdr:rowOff>
    </xdr:from>
    <xdr:to>
      <xdr:col>6</xdr:col>
      <xdr:colOff>125730</xdr:colOff>
      <xdr:row>84</xdr:row>
      <xdr:rowOff>152420</xdr:rowOff>
    </xdr:to>
    <xdr:pic>
      <xdr:nvPicPr>
        <xdr:cNvPr id="5" name="Picture 4">
          <a:extLst>
            <a:ext uri="{FF2B5EF4-FFF2-40B4-BE49-F238E27FC236}">
              <a16:creationId xmlns:a16="http://schemas.microsoft.com/office/drawing/2014/main" id="{10583AEF-3C3D-4475-B4F2-05424BFC5D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6801001"/>
          <a:ext cx="3253740" cy="290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101</xdr:row>
      <xdr:rowOff>0</xdr:rowOff>
    </xdr:from>
    <xdr:to>
      <xdr:col>10</xdr:col>
      <xdr:colOff>358140</xdr:colOff>
      <xdr:row>126</xdr:row>
      <xdr:rowOff>55917</xdr:rowOff>
    </xdr:to>
    <xdr:pic>
      <xdr:nvPicPr>
        <xdr:cNvPr id="3" name="Picture 2">
          <a:extLst>
            <a:ext uri="{FF2B5EF4-FFF2-40B4-BE49-F238E27FC236}">
              <a16:creationId xmlns:a16="http://schemas.microsoft.com/office/drawing/2014/main" id="{B8F58867-361C-4EB2-B90F-48B747706E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7850" y="18459450"/>
          <a:ext cx="6153150" cy="4587912"/>
        </a:xfrm>
        <a:prstGeom prst="rect">
          <a:avLst/>
        </a:prstGeom>
      </xdr:spPr>
    </xdr:pic>
    <xdr:clientData/>
  </xdr:twoCellAnchor>
  <xdr:twoCellAnchor editAs="oneCell">
    <xdr:from>
      <xdr:col>1</xdr:col>
      <xdr:colOff>1234440</xdr:colOff>
      <xdr:row>162</xdr:row>
      <xdr:rowOff>102870</xdr:rowOff>
    </xdr:from>
    <xdr:to>
      <xdr:col>9</xdr:col>
      <xdr:colOff>246218</xdr:colOff>
      <xdr:row>184</xdr:row>
      <xdr:rowOff>133697</xdr:rowOff>
    </xdr:to>
    <xdr:pic>
      <xdr:nvPicPr>
        <xdr:cNvPr id="5" name="Picture 4">
          <a:extLst>
            <a:ext uri="{FF2B5EF4-FFF2-40B4-BE49-F238E27FC236}">
              <a16:creationId xmlns:a16="http://schemas.microsoft.com/office/drawing/2014/main" id="{C7539550-55D1-42AD-94A3-EE00F55A8B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44040" y="29668470"/>
          <a:ext cx="5448773" cy="40008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xdr:colOff>
      <xdr:row>83</xdr:row>
      <xdr:rowOff>45720</xdr:rowOff>
    </xdr:from>
    <xdr:to>
      <xdr:col>6</xdr:col>
      <xdr:colOff>206023</xdr:colOff>
      <xdr:row>93</xdr:row>
      <xdr:rowOff>91603</xdr:rowOff>
    </xdr:to>
    <xdr:pic>
      <xdr:nvPicPr>
        <xdr:cNvPr id="2" name="Picture 1">
          <a:extLst>
            <a:ext uri="{FF2B5EF4-FFF2-40B4-BE49-F238E27FC236}">
              <a16:creationId xmlns:a16="http://schemas.microsoft.com/office/drawing/2014/main" id="{FB0F26DE-B075-46A0-B1DE-5476DC7034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0080" y="17167860"/>
          <a:ext cx="3269263" cy="1874683"/>
        </a:xfrm>
        <a:prstGeom prst="rect">
          <a:avLst/>
        </a:prstGeom>
      </xdr:spPr>
    </xdr:pic>
    <xdr:clientData/>
  </xdr:twoCellAnchor>
  <xdr:twoCellAnchor editAs="oneCell">
    <xdr:from>
      <xdr:col>0</xdr:col>
      <xdr:colOff>571500</xdr:colOff>
      <xdr:row>81</xdr:row>
      <xdr:rowOff>44621</xdr:rowOff>
    </xdr:from>
    <xdr:to>
      <xdr:col>6</xdr:col>
      <xdr:colOff>125730</xdr:colOff>
      <xdr:row>82</xdr:row>
      <xdr:rowOff>152421</xdr:rowOff>
    </xdr:to>
    <xdr:pic>
      <xdr:nvPicPr>
        <xdr:cNvPr id="3" name="Picture 2">
          <a:extLst>
            <a:ext uri="{FF2B5EF4-FFF2-40B4-BE49-F238E27FC236}">
              <a16:creationId xmlns:a16="http://schemas.microsoft.com/office/drawing/2014/main" id="{4CCC2611-93DF-46D4-B288-8B6830797C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6801001"/>
          <a:ext cx="3257550" cy="290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ontario.ca/page/handling-excess-soi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19F2-2454-4EF7-834F-E31367731616}">
  <sheetPr>
    <pageSetUpPr fitToPage="1"/>
  </sheetPr>
  <dimension ref="B1:R81"/>
  <sheetViews>
    <sheetView tabSelected="1" topLeftCell="A31" workbookViewId="0">
      <selection activeCell="K47" sqref="K47"/>
    </sheetView>
  </sheetViews>
  <sheetFormatPr defaultRowHeight="14.4" x14ac:dyDescent="0.3"/>
  <cols>
    <col min="6" max="6" width="9.5546875" customWidth="1"/>
    <col min="7" max="7" width="18.77734375" bestFit="1" customWidth="1"/>
    <col min="8" max="8" width="21.109375" customWidth="1"/>
    <col min="10" max="10" width="15.5546875" bestFit="1" customWidth="1"/>
    <col min="11" max="11" width="11" customWidth="1"/>
    <col min="13" max="13" width="9.33203125" bestFit="1" customWidth="1"/>
    <col min="15" max="15" width="20.44140625" bestFit="1" customWidth="1"/>
    <col min="16" max="16" width="22.88671875" bestFit="1" customWidth="1"/>
    <col min="17" max="18" width="20.44140625" bestFit="1" customWidth="1"/>
  </cols>
  <sheetData>
    <row r="1" spans="2:18" ht="23.4" x14ac:dyDescent="0.45">
      <c r="K1" s="1" t="s">
        <v>13</v>
      </c>
    </row>
    <row r="2" spans="2:18" ht="12.75" customHeight="1" x14ac:dyDescent="0.45">
      <c r="K2" s="1"/>
    </row>
    <row r="3" spans="2:18" ht="17.399999999999999" x14ac:dyDescent="0.4">
      <c r="K3" s="51" t="s">
        <v>115</v>
      </c>
    </row>
    <row r="4" spans="2:18" x14ac:dyDescent="0.3">
      <c r="K4" s="2" t="s">
        <v>114</v>
      </c>
    </row>
    <row r="5" spans="2:18" ht="17.399999999999999" x14ac:dyDescent="0.4">
      <c r="K5" s="51" t="s">
        <v>120</v>
      </c>
    </row>
    <row r="6" spans="2:18" x14ac:dyDescent="0.3">
      <c r="K6" s="2"/>
    </row>
    <row r="8" spans="2:18" ht="20.399999999999999" thickBot="1" x14ac:dyDescent="0.45">
      <c r="B8" s="32" t="s">
        <v>0</v>
      </c>
      <c r="C8" s="32"/>
      <c r="D8" s="33"/>
      <c r="E8" s="33"/>
      <c r="F8" s="33"/>
      <c r="G8" s="33"/>
      <c r="H8" s="33"/>
      <c r="I8" s="3"/>
      <c r="J8" s="32" t="s">
        <v>3</v>
      </c>
      <c r="K8" s="32"/>
      <c r="L8" s="33"/>
      <c r="M8" s="33"/>
      <c r="N8" s="33"/>
      <c r="O8" s="33"/>
      <c r="P8" s="33"/>
      <c r="Q8" s="33"/>
      <c r="R8" s="33"/>
    </row>
    <row r="9" spans="2:18" ht="15" thickTop="1" x14ac:dyDescent="0.3">
      <c r="B9" s="34" t="s">
        <v>1</v>
      </c>
      <c r="C9" s="3"/>
      <c r="I9" s="3"/>
      <c r="J9" s="34" t="s">
        <v>4</v>
      </c>
      <c r="K9" s="3"/>
    </row>
    <row r="10" spans="2:18" x14ac:dyDescent="0.3">
      <c r="B10" s="34" t="s">
        <v>2</v>
      </c>
      <c r="C10" s="3"/>
      <c r="I10" s="3"/>
      <c r="J10" s="34" t="s">
        <v>131</v>
      </c>
      <c r="K10" s="3"/>
    </row>
    <row r="11" spans="2:18" x14ac:dyDescent="0.3">
      <c r="B11" s="3"/>
      <c r="C11" s="3"/>
      <c r="I11" s="3"/>
      <c r="J11" s="3"/>
      <c r="K11" s="3"/>
    </row>
    <row r="12" spans="2:18" ht="18" thickBot="1" x14ac:dyDescent="0.4">
      <c r="B12" s="3"/>
      <c r="C12" s="3"/>
      <c r="G12" s="188" t="s">
        <v>51</v>
      </c>
      <c r="H12" s="189"/>
      <c r="I12" s="3"/>
      <c r="J12" s="3"/>
      <c r="K12" s="3"/>
      <c r="O12" s="190" t="s">
        <v>50</v>
      </c>
      <c r="P12" s="190"/>
      <c r="Q12" s="188" t="s">
        <v>51</v>
      </c>
      <c r="R12" s="189"/>
    </row>
    <row r="13" spans="2:18" ht="18.600000000000001" thickTop="1" thickBot="1" x14ac:dyDescent="0.4">
      <c r="B13" s="35" t="s">
        <v>35</v>
      </c>
      <c r="C13" s="35"/>
      <c r="D13" s="36"/>
      <c r="E13" s="36"/>
      <c r="F13" s="36"/>
      <c r="G13" s="38" t="s">
        <v>52</v>
      </c>
      <c r="H13" s="39" t="s">
        <v>53</v>
      </c>
      <c r="I13" s="3"/>
      <c r="J13" s="35" t="s">
        <v>33</v>
      </c>
      <c r="K13" s="35"/>
      <c r="L13" s="36"/>
      <c r="M13" s="36"/>
      <c r="N13" s="36"/>
      <c r="O13" s="37" t="s">
        <v>52</v>
      </c>
      <c r="P13" s="37" t="s">
        <v>53</v>
      </c>
      <c r="Q13" s="38" t="s">
        <v>52</v>
      </c>
      <c r="R13" s="39" t="s">
        <v>53</v>
      </c>
    </row>
    <row r="14" spans="2:18" ht="15" thickTop="1" x14ac:dyDescent="0.3">
      <c r="B14" s="3"/>
      <c r="C14" s="3" t="s">
        <v>97</v>
      </c>
      <c r="G14" s="82">
        <f>Construction!C133</f>
        <v>4.1061999999999994</v>
      </c>
      <c r="H14" s="82">
        <f>Construction!C133</f>
        <v>4.1061999999999994</v>
      </c>
      <c r="I14" s="3"/>
      <c r="J14" s="3"/>
      <c r="K14" s="3" t="s">
        <v>98</v>
      </c>
      <c r="O14" s="31">
        <f>Preconstruction!C18</f>
        <v>48</v>
      </c>
      <c r="P14" s="31">
        <f>Preconstruction!D18</f>
        <v>80</v>
      </c>
      <c r="Q14" s="40">
        <f>Preconstruction!C19</f>
        <v>1</v>
      </c>
      <c r="R14" s="41">
        <f>Preconstruction!D19</f>
        <v>1.7</v>
      </c>
    </row>
    <row r="15" spans="2:18" x14ac:dyDescent="0.3">
      <c r="B15" s="3"/>
      <c r="C15" s="3" t="s">
        <v>6</v>
      </c>
      <c r="G15" s="61">
        <f>Construction!C97+Preconstruction!D29</f>
        <v>0.66351834430856071</v>
      </c>
      <c r="H15" s="81">
        <f>Construction!C97*2+Preconstruction!E29</f>
        <v>1.378777046095955</v>
      </c>
      <c r="I15" s="3"/>
      <c r="J15" s="3"/>
      <c r="K15" s="3" t="s">
        <v>6</v>
      </c>
      <c r="O15" s="5">
        <f>Preconstruction!D28</f>
        <v>1.1160714285714286</v>
      </c>
      <c r="P15" s="5">
        <f>Preconstruction!E28</f>
        <v>4.6875</v>
      </c>
      <c r="Q15" s="42">
        <f>Preconstruction!D29</f>
        <v>2.3518344308560677E-2</v>
      </c>
      <c r="R15" s="18">
        <f>Preconstruction!E29</f>
        <v>9.8777046095954849E-2</v>
      </c>
    </row>
    <row r="16" spans="2:18" x14ac:dyDescent="0.3">
      <c r="B16" s="3"/>
      <c r="C16" s="3" t="s">
        <v>7</v>
      </c>
      <c r="G16" s="71">
        <f>Construction!C91</f>
        <v>1.9323999999999999</v>
      </c>
      <c r="H16" s="73">
        <f>Construction!C90</f>
        <v>7.7295999999999996</v>
      </c>
      <c r="I16" s="3"/>
      <c r="J16" s="3"/>
      <c r="K16" s="3" t="s">
        <v>7</v>
      </c>
      <c r="O16" s="4">
        <v>0.01</v>
      </c>
      <c r="P16" s="4">
        <v>1</v>
      </c>
      <c r="Q16" s="43">
        <v>0.01</v>
      </c>
      <c r="R16" s="17">
        <v>0.1</v>
      </c>
    </row>
    <row r="17" spans="2:18" ht="15" thickBot="1" x14ac:dyDescent="0.35">
      <c r="B17" s="3"/>
      <c r="C17" s="30" t="s">
        <v>80</v>
      </c>
      <c r="D17" s="25"/>
      <c r="E17" s="25"/>
      <c r="F17" s="25"/>
      <c r="G17" s="44">
        <f>SUM(G14:G16)</f>
        <v>6.7021183443085608</v>
      </c>
      <c r="H17" s="29">
        <f>SUM(H14:H16)</f>
        <v>13.214577046095954</v>
      </c>
      <c r="I17" s="3"/>
      <c r="J17" s="3"/>
      <c r="K17" s="30" t="s">
        <v>80</v>
      </c>
      <c r="L17" s="25"/>
      <c r="M17" s="25"/>
      <c r="N17" s="25"/>
      <c r="O17" s="26">
        <f>SUM(O14:O16)</f>
        <v>49.126071428571429</v>
      </c>
      <c r="P17" s="26">
        <f t="shared" ref="P17:R17" si="0">SUM(P14:P16)</f>
        <v>85.6875</v>
      </c>
      <c r="Q17" s="44">
        <f t="shared" si="0"/>
        <v>1.0335183443085607</v>
      </c>
      <c r="R17" s="29">
        <f t="shared" si="0"/>
        <v>1.898777046095955</v>
      </c>
    </row>
    <row r="18" spans="2:18" ht="15" thickTop="1" x14ac:dyDescent="0.3">
      <c r="B18" s="3"/>
      <c r="C18" s="3"/>
      <c r="I18" s="3"/>
      <c r="J18" s="3"/>
      <c r="K18" s="3"/>
    </row>
    <row r="19" spans="2:18" ht="18" thickBot="1" x14ac:dyDescent="0.4">
      <c r="B19" s="35" t="s">
        <v>32</v>
      </c>
      <c r="C19" s="35"/>
      <c r="D19" s="36"/>
      <c r="E19" s="36"/>
      <c r="F19" s="36"/>
      <c r="G19" s="36"/>
      <c r="H19" s="36"/>
      <c r="I19" s="3"/>
      <c r="J19" s="35" t="s">
        <v>32</v>
      </c>
      <c r="K19" s="35"/>
      <c r="L19" s="36"/>
      <c r="M19" s="36"/>
      <c r="N19" s="36"/>
      <c r="O19" s="36"/>
      <c r="P19" s="36"/>
      <c r="Q19" s="36"/>
      <c r="R19" s="36"/>
    </row>
    <row r="20" spans="2:18" ht="15" thickTop="1" x14ac:dyDescent="0.3">
      <c r="B20" s="3"/>
      <c r="C20" s="3" t="s">
        <v>21</v>
      </c>
      <c r="G20" s="61">
        <f>Q20</f>
        <v>0.7</v>
      </c>
      <c r="H20" s="61">
        <f>R20</f>
        <v>1.1000000000000001</v>
      </c>
      <c r="I20" s="3"/>
      <c r="J20" s="3"/>
      <c r="K20" s="3" t="s">
        <v>54</v>
      </c>
      <c r="O20" s="5">
        <f>Construction!C18</f>
        <v>30</v>
      </c>
      <c r="P20" s="5">
        <f>Construction!D18</f>
        <v>50</v>
      </c>
      <c r="Q20" s="46">
        <f>Construction!C19</f>
        <v>0.7</v>
      </c>
      <c r="R20" s="5">
        <f>Construction!D19</f>
        <v>1.1000000000000001</v>
      </c>
    </row>
    <row r="21" spans="2:18" x14ac:dyDescent="0.3">
      <c r="B21" s="3"/>
      <c r="C21" s="3" t="s">
        <v>8</v>
      </c>
      <c r="G21" s="42">
        <f t="shared" ref="G21:G26" si="1">Q21</f>
        <v>0.72224835371589835</v>
      </c>
      <c r="H21" s="42">
        <f t="shared" ref="H21:H26" si="2">R21</f>
        <v>1.8889934148635936</v>
      </c>
      <c r="I21" s="3"/>
      <c r="J21" s="3"/>
      <c r="K21" s="3" t="s">
        <v>8</v>
      </c>
      <c r="O21" s="5">
        <f>Construction!F30+Construction!D39</f>
        <v>34.727678571428569</v>
      </c>
      <c r="P21" s="5">
        <f>Construction!G30+Construction!E39</f>
        <v>89.455357142857139</v>
      </c>
      <c r="Q21" s="42">
        <f>Construction!F31+Construction!D40</f>
        <v>0.72224835371589835</v>
      </c>
      <c r="R21" s="5">
        <f>Construction!G31+Construction!E40</f>
        <v>1.8889934148635936</v>
      </c>
    </row>
    <row r="22" spans="2:18" x14ac:dyDescent="0.3">
      <c r="B22" s="3"/>
      <c r="C22" s="3" t="s">
        <v>9</v>
      </c>
      <c r="G22" s="42">
        <f t="shared" si="1"/>
        <v>0.11767110795400003</v>
      </c>
      <c r="H22" s="42">
        <f t="shared" si="2"/>
        <v>0.22267110795400002</v>
      </c>
      <c r="I22" s="3"/>
      <c r="J22" s="3"/>
      <c r="K22" s="3" t="s">
        <v>9</v>
      </c>
      <c r="O22" s="5">
        <f>Construction!G52+Construction!C60</f>
        <v>5.5841244533527696</v>
      </c>
      <c r="P22" s="5">
        <f>Construction!H52+Construction!C60</f>
        <v>10.566936953352769</v>
      </c>
      <c r="Q22" s="42">
        <f>Construction!I52+Construction!C61</f>
        <v>0.11767110795400003</v>
      </c>
      <c r="R22" s="5">
        <f>Construction!J52+Construction!C61</f>
        <v>0.22267110795400002</v>
      </c>
    </row>
    <row r="23" spans="2:18" x14ac:dyDescent="0.3">
      <c r="B23" s="3"/>
      <c r="C23" s="3" t="s">
        <v>5</v>
      </c>
      <c r="G23" s="42">
        <v>0</v>
      </c>
      <c r="H23" s="42">
        <f t="shared" si="2"/>
        <v>10</v>
      </c>
      <c r="I23" s="3"/>
      <c r="J23" s="3"/>
      <c r="K23" s="3" t="s">
        <v>5</v>
      </c>
      <c r="O23">
        <v>0</v>
      </c>
      <c r="P23" s="5">
        <f>Construction!D72</f>
        <v>474.55357142857144</v>
      </c>
      <c r="Q23" s="45">
        <v>0</v>
      </c>
      <c r="R23" s="5">
        <f>Construction!D73</f>
        <v>10</v>
      </c>
    </row>
    <row r="24" spans="2:18" s="55" customFormat="1" x14ac:dyDescent="0.3">
      <c r="B24" s="62"/>
      <c r="C24" s="62" t="s">
        <v>201</v>
      </c>
      <c r="G24" s="61">
        <v>0</v>
      </c>
      <c r="H24" s="61">
        <f>Construction!C100</f>
        <v>4</v>
      </c>
      <c r="I24" s="62"/>
      <c r="J24" s="62"/>
      <c r="K24" s="62"/>
      <c r="P24" s="63"/>
      <c r="Q24" s="89"/>
      <c r="R24" s="63"/>
    </row>
    <row r="25" spans="2:18" s="55" customFormat="1" x14ac:dyDescent="0.3">
      <c r="B25" s="62"/>
      <c r="C25" s="62" t="s">
        <v>203</v>
      </c>
      <c r="G25" s="61">
        <v>0</v>
      </c>
      <c r="H25" s="61">
        <v>5</v>
      </c>
      <c r="I25" s="62"/>
      <c r="J25" s="62"/>
      <c r="K25" s="62"/>
      <c r="P25" s="63"/>
      <c r="Q25" s="89"/>
      <c r="R25" s="63"/>
    </row>
    <row r="26" spans="2:18" s="55" customFormat="1" x14ac:dyDescent="0.3">
      <c r="B26" s="62"/>
      <c r="C26" s="62" t="s">
        <v>57</v>
      </c>
      <c r="G26" s="61">
        <f t="shared" si="1"/>
        <v>0.23098791925048473</v>
      </c>
      <c r="H26" s="61">
        <f t="shared" si="2"/>
        <v>1.9817496784226392</v>
      </c>
      <c r="I26" s="62"/>
      <c r="J26" s="62"/>
      <c r="K26" s="62" t="s">
        <v>57</v>
      </c>
      <c r="O26" s="63">
        <f>SUM(O20:O23)*0.15</f>
        <v>10.546770453717201</v>
      </c>
      <c r="P26" s="63">
        <f t="shared" ref="P26:R26" si="3">SUM(P20:P23)*0.15</f>
        <v>93.686379828717207</v>
      </c>
      <c r="Q26" s="61">
        <f t="shared" si="3"/>
        <v>0.23098791925048473</v>
      </c>
      <c r="R26" s="63">
        <f t="shared" si="3"/>
        <v>1.9817496784226392</v>
      </c>
    </row>
    <row r="27" spans="2:18" s="55" customFormat="1" ht="15" thickBot="1" x14ac:dyDescent="0.35">
      <c r="B27" s="62"/>
      <c r="C27" s="64" t="s">
        <v>80</v>
      </c>
      <c r="D27" s="65"/>
      <c r="E27" s="65"/>
      <c r="F27" s="65"/>
      <c r="G27" s="66">
        <f>SUM(G20:G26)</f>
        <v>1.770907380920383</v>
      </c>
      <c r="H27" s="67">
        <f>SUM(H20:H26)</f>
        <v>24.19341420124023</v>
      </c>
      <c r="I27" s="62"/>
      <c r="J27" s="62"/>
      <c r="K27" s="64" t="s">
        <v>80</v>
      </c>
      <c r="L27" s="65"/>
      <c r="M27" s="65"/>
      <c r="N27" s="65"/>
      <c r="O27" s="67">
        <f>SUM(O20:O26)</f>
        <v>80.858573478498542</v>
      </c>
      <c r="P27" s="67">
        <f t="shared" ref="P27:R27" si="4">SUM(P20:P26)</f>
        <v>718.26224535349866</v>
      </c>
      <c r="Q27" s="66">
        <f t="shared" si="4"/>
        <v>1.770907380920383</v>
      </c>
      <c r="R27" s="67">
        <f t="shared" si="4"/>
        <v>15.193414201240234</v>
      </c>
    </row>
    <row r="28" spans="2:18" s="55" customFormat="1" ht="15" thickTop="1" x14ac:dyDescent="0.3">
      <c r="B28" s="62"/>
      <c r="C28" s="62"/>
      <c r="I28" s="62"/>
      <c r="J28" s="62"/>
      <c r="K28" s="62"/>
    </row>
    <row r="29" spans="2:18" s="55" customFormat="1" ht="18" thickBot="1" x14ac:dyDescent="0.4">
      <c r="B29" s="68" t="s">
        <v>34</v>
      </c>
      <c r="C29" s="68"/>
      <c r="D29" s="69"/>
      <c r="E29" s="69"/>
      <c r="F29" s="69"/>
      <c r="G29" s="69"/>
      <c r="H29" s="69"/>
      <c r="I29" s="62"/>
      <c r="J29" s="68" t="s">
        <v>34</v>
      </c>
      <c r="K29" s="68"/>
      <c r="L29" s="69"/>
      <c r="M29" s="69"/>
      <c r="N29" s="69"/>
      <c r="O29" s="69"/>
      <c r="P29" s="69"/>
      <c r="Q29" s="69"/>
      <c r="R29" s="69"/>
    </row>
    <row r="30" spans="2:18" s="55" customFormat="1" ht="15" thickTop="1" x14ac:dyDescent="0.3">
      <c r="B30" s="62"/>
      <c r="C30" s="62" t="s">
        <v>10</v>
      </c>
      <c r="G30" s="61">
        <f t="shared" ref="G30:H30" si="5">Q30</f>
        <v>5.2751646284101603E-2</v>
      </c>
      <c r="H30" s="63">
        <f t="shared" si="5"/>
        <v>5.2751646284101603E-2</v>
      </c>
      <c r="I30" s="62"/>
      <c r="J30" s="62"/>
      <c r="K30" s="62" t="s">
        <v>10</v>
      </c>
      <c r="O30" s="63">
        <f>Receiving!D17+Receiving!D25</f>
        <v>2.5033482142857144</v>
      </c>
      <c r="P30" s="63">
        <f>O30</f>
        <v>2.5033482142857144</v>
      </c>
      <c r="Q30" s="70">
        <f>Receiving!D18+Receiving!D26</f>
        <v>5.2751646284101603E-2</v>
      </c>
      <c r="R30" s="63">
        <f>Q30</f>
        <v>5.2751646284101603E-2</v>
      </c>
    </row>
    <row r="31" spans="2:18" s="55" customFormat="1" x14ac:dyDescent="0.3">
      <c r="B31" s="62"/>
      <c r="C31" s="62" t="s">
        <v>11</v>
      </c>
      <c r="G31" s="61">
        <f t="shared" ref="G31:G33" si="6">Q31</f>
        <v>1.4999999999999999E-2</v>
      </c>
      <c r="H31" s="63">
        <f t="shared" ref="H31:H33" si="7">R31</f>
        <v>1.25</v>
      </c>
      <c r="I31" s="62"/>
      <c r="J31" s="62"/>
      <c r="K31" s="62" t="s">
        <v>11</v>
      </c>
      <c r="O31" s="63">
        <f>Receiving!C32</f>
        <v>0.33482142857142855</v>
      </c>
      <c r="P31" s="63">
        <f>Receiving!D32</f>
        <v>0.6696428571428571</v>
      </c>
      <c r="Q31" s="61">
        <f>Receiving!C33</f>
        <v>1.4999999999999999E-2</v>
      </c>
      <c r="R31" s="63">
        <f>Receiving!D33</f>
        <v>1.25</v>
      </c>
    </row>
    <row r="32" spans="2:18" s="55" customFormat="1" x14ac:dyDescent="0.3">
      <c r="B32" s="62"/>
      <c r="C32" s="62" t="s">
        <v>12</v>
      </c>
      <c r="G32" s="61">
        <f t="shared" si="6"/>
        <v>0.25870178739416744</v>
      </c>
      <c r="H32" s="63">
        <f t="shared" si="7"/>
        <v>0.25870178739416744</v>
      </c>
      <c r="I32" s="62"/>
      <c r="J32" s="62"/>
      <c r="K32" s="62" t="s">
        <v>12</v>
      </c>
      <c r="O32" s="63">
        <f>Receiving!C40</f>
        <v>12.276785714285714</v>
      </c>
      <c r="P32" s="63">
        <f>O32</f>
        <v>12.276785714285714</v>
      </c>
      <c r="Q32" s="61">
        <f>Receiving!C41</f>
        <v>0.25870178739416744</v>
      </c>
      <c r="R32" s="63">
        <f>Q32</f>
        <v>0.25870178739416744</v>
      </c>
    </row>
    <row r="33" spans="2:18" s="55" customFormat="1" x14ac:dyDescent="0.3">
      <c r="B33" s="62"/>
      <c r="C33" s="62" t="s">
        <v>109</v>
      </c>
      <c r="G33" s="71">
        <f t="shared" si="6"/>
        <v>6.5290686735653816E-2</v>
      </c>
      <c r="H33" s="72">
        <f t="shared" si="7"/>
        <v>0.31229068673565386</v>
      </c>
      <c r="I33" s="62"/>
      <c r="J33" s="62"/>
      <c r="K33" s="62" t="s">
        <v>109</v>
      </c>
      <c r="O33" s="63">
        <f>SUM(O30:O32)*0.2</f>
        <v>3.0229910714285713</v>
      </c>
      <c r="P33" s="63">
        <f t="shared" ref="P33:R33" si="8">SUM(P30:P32)*0.2</f>
        <v>3.0899553571428573</v>
      </c>
      <c r="Q33" s="61">
        <f t="shared" si="8"/>
        <v>6.5290686735653816E-2</v>
      </c>
      <c r="R33" s="63">
        <f t="shared" si="8"/>
        <v>0.31229068673565386</v>
      </c>
    </row>
    <row r="34" spans="2:18" ht="15" thickBot="1" x14ac:dyDescent="0.35">
      <c r="C34" s="30" t="s">
        <v>80</v>
      </c>
      <c r="D34" s="25"/>
      <c r="E34" s="25"/>
      <c r="F34" s="25"/>
      <c r="G34" s="44">
        <f t="shared" ref="G34:H34" si="9">SUM(G30:G33)</f>
        <v>0.39174412041392287</v>
      </c>
      <c r="H34" s="26">
        <f t="shared" si="9"/>
        <v>1.8737441204139229</v>
      </c>
      <c r="K34" s="30" t="s">
        <v>80</v>
      </c>
      <c r="L34" s="25"/>
      <c r="M34" s="25"/>
      <c r="N34" s="25"/>
      <c r="O34" s="26">
        <f>SUM(O29:O33)</f>
        <v>18.137946428571428</v>
      </c>
      <c r="P34" s="26">
        <f t="shared" ref="P34" si="10">SUM(P29:P33)</f>
        <v>18.53973214285714</v>
      </c>
      <c r="Q34" s="44">
        <f t="shared" ref="Q34" si="11">SUM(Q29:Q33)</f>
        <v>0.39174412041392287</v>
      </c>
      <c r="R34" s="26">
        <f t="shared" ref="R34" si="12">SUM(R29:R33)</f>
        <v>1.8737441204139229</v>
      </c>
    </row>
    <row r="35" spans="2:18" ht="15" thickTop="1" x14ac:dyDescent="0.3"/>
    <row r="36" spans="2:18" ht="18.600000000000001" thickBot="1" x14ac:dyDescent="0.4">
      <c r="B36" s="47" t="s">
        <v>168</v>
      </c>
      <c r="C36" s="47"/>
      <c r="D36" s="47"/>
      <c r="E36" s="47"/>
      <c r="F36" s="47"/>
      <c r="G36" s="48">
        <f t="shared" ref="G36" si="13">G34+G27+G17</f>
        <v>8.8647698456428667</v>
      </c>
      <c r="H36" s="48">
        <f>H34+H27+H17</f>
        <v>39.281735367750109</v>
      </c>
      <c r="J36" s="47" t="s">
        <v>113</v>
      </c>
      <c r="K36" s="47"/>
      <c r="L36" s="47"/>
      <c r="M36" s="47"/>
      <c r="N36" s="47"/>
      <c r="O36" s="48">
        <f>O34+O27+O17</f>
        <v>148.1225913356414</v>
      </c>
      <c r="P36" s="48">
        <f t="shared" ref="P36:R36" si="14">P34+P27+P17</f>
        <v>822.48947749635579</v>
      </c>
      <c r="Q36" s="48">
        <f t="shared" si="14"/>
        <v>3.1961698456428667</v>
      </c>
      <c r="R36" s="48">
        <f t="shared" si="14"/>
        <v>18.965935367750113</v>
      </c>
    </row>
    <row r="37" spans="2:18" ht="15" thickTop="1" x14ac:dyDescent="0.3"/>
    <row r="38" spans="2:18" ht="21.6" thickBot="1" x14ac:dyDescent="0.45">
      <c r="B38" s="49" t="s">
        <v>169</v>
      </c>
      <c r="C38" s="49"/>
      <c r="D38" s="49"/>
      <c r="E38" s="49"/>
      <c r="F38" s="49"/>
      <c r="G38" s="50">
        <f>ROUND(G36*25000,0)</f>
        <v>221619</v>
      </c>
      <c r="H38" s="50">
        <f>ROUND(H36*25000,0)</f>
        <v>982043</v>
      </c>
      <c r="J38" s="49" t="s">
        <v>121</v>
      </c>
      <c r="K38" s="49"/>
      <c r="L38" s="49"/>
      <c r="M38" s="49"/>
      <c r="N38" s="49"/>
      <c r="O38" s="49"/>
      <c r="P38" s="49"/>
      <c r="Q38" s="50">
        <f>Q36*25000000</f>
        <v>79904246.141071662</v>
      </c>
      <c r="R38" s="50">
        <f>R36*25000000</f>
        <v>474148384.19375283</v>
      </c>
    </row>
    <row r="39" spans="2:18" ht="15" thickTop="1" x14ac:dyDescent="0.3"/>
    <row r="40" spans="2:18" ht="15" thickBot="1" x14ac:dyDescent="0.35">
      <c r="J40" s="22" t="s">
        <v>119</v>
      </c>
      <c r="K40" s="22" t="s">
        <v>118</v>
      </c>
      <c r="L40" s="22"/>
      <c r="M40" s="22" t="s">
        <v>117</v>
      </c>
      <c r="N40" s="22"/>
    </row>
    <row r="41" spans="2:18" ht="21.6" thickBot="1" x14ac:dyDescent="0.45">
      <c r="B41" s="49" t="s">
        <v>208</v>
      </c>
      <c r="C41" s="49"/>
      <c r="D41" s="49"/>
      <c r="E41" s="49"/>
      <c r="F41" s="49"/>
      <c r="G41" s="50">
        <f>ROUND(G38/172,0)</f>
        <v>1288</v>
      </c>
      <c r="H41" s="50">
        <f>ROUND(H38/172,0)</f>
        <v>5710</v>
      </c>
      <c r="J41" s="49">
        <v>120000000</v>
      </c>
      <c r="K41" s="52">
        <v>0.5</v>
      </c>
      <c r="L41" s="49"/>
      <c r="M41" s="52">
        <v>0.01</v>
      </c>
      <c r="N41" s="49"/>
      <c r="O41" s="50">
        <f>J41*K41*M41*O36</f>
        <v>88873554.801384836</v>
      </c>
      <c r="P41" s="50">
        <f>J41*K41*M41*P36</f>
        <v>493493686.49781346</v>
      </c>
    </row>
    <row r="42" spans="2:18" ht="15" thickTop="1" x14ac:dyDescent="0.3">
      <c r="B42" s="58"/>
    </row>
    <row r="43" spans="2:18" ht="21.6" thickBot="1" x14ac:dyDescent="0.45">
      <c r="B43" s="49" t="s">
        <v>224</v>
      </c>
      <c r="C43" s="49"/>
      <c r="D43" s="49"/>
      <c r="E43" s="49"/>
      <c r="F43" s="49"/>
      <c r="G43" s="50">
        <f>ROUND(G41*50261,0)</f>
        <v>64736168</v>
      </c>
      <c r="H43" s="50">
        <f>ROUND(H41*50261,0)</f>
        <v>286990310</v>
      </c>
      <c r="J43" s="74"/>
      <c r="K43" s="75"/>
      <c r="L43" s="74"/>
      <c r="M43" s="75"/>
      <c r="N43" s="74"/>
      <c r="O43" s="76"/>
      <c r="P43" s="76"/>
    </row>
    <row r="44" spans="2:18" ht="15" thickTop="1" x14ac:dyDescent="0.3"/>
    <row r="45" spans="2:18" ht="20.399999999999999" thickBot="1" x14ac:dyDescent="0.45">
      <c r="B45" s="32" t="s">
        <v>0</v>
      </c>
      <c r="C45" s="32"/>
      <c r="D45" s="33"/>
      <c r="E45" s="33"/>
      <c r="F45" s="33"/>
      <c r="G45" s="33"/>
      <c r="H45" s="33"/>
    </row>
    <row r="46" spans="2:18" ht="15" thickTop="1" x14ac:dyDescent="0.3">
      <c r="B46" s="34" t="s">
        <v>214</v>
      </c>
      <c r="C46" s="3"/>
    </row>
    <row r="47" spans="2:18" x14ac:dyDescent="0.3">
      <c r="B47" s="34" t="s">
        <v>236</v>
      </c>
      <c r="C47" s="3"/>
    </row>
    <row r="48" spans="2:18" x14ac:dyDescent="0.3">
      <c r="B48" s="3"/>
      <c r="C48" s="3"/>
    </row>
    <row r="49" spans="2:8" ht="18" thickBot="1" x14ac:dyDescent="0.4">
      <c r="B49" s="3"/>
      <c r="C49" s="3"/>
      <c r="G49" s="188" t="s">
        <v>51</v>
      </c>
      <c r="H49" s="189"/>
    </row>
    <row r="50" spans="2:8" ht="18.600000000000001" thickTop="1" thickBot="1" x14ac:dyDescent="0.4">
      <c r="B50" s="35" t="s">
        <v>35</v>
      </c>
      <c r="C50" s="35"/>
      <c r="D50" s="36"/>
      <c r="E50" s="36"/>
      <c r="F50" s="36"/>
      <c r="G50" s="83" t="s">
        <v>52</v>
      </c>
      <c r="H50" s="84" t="s">
        <v>53</v>
      </c>
    </row>
    <row r="51" spans="2:8" ht="15" thickTop="1" x14ac:dyDescent="0.3">
      <c r="B51" s="3"/>
      <c r="C51" s="3" t="s">
        <v>97</v>
      </c>
      <c r="G51" s="82">
        <f>Construction!C191</f>
        <v>3.0998000000000001</v>
      </c>
      <c r="H51" s="82">
        <f>Construction!C191</f>
        <v>3.0998000000000001</v>
      </c>
    </row>
    <row r="52" spans="2:8" x14ac:dyDescent="0.3">
      <c r="B52" s="3"/>
      <c r="C52" s="3" t="s">
        <v>6</v>
      </c>
      <c r="G52" s="61">
        <f>Construction!C155+Preconstruction!C19</f>
        <v>1.46</v>
      </c>
      <c r="H52" s="81">
        <f>Construction!C155*2+Preconstruction!D19</f>
        <v>2.62</v>
      </c>
    </row>
    <row r="53" spans="2:8" x14ac:dyDescent="0.3">
      <c r="B53" s="3"/>
      <c r="C53" s="3" t="s">
        <v>7</v>
      </c>
      <c r="G53" s="71">
        <f>Construction!C149</f>
        <v>0.96620000000000006</v>
      </c>
      <c r="H53" s="73">
        <f>Construction!C148</f>
        <v>5.7972000000000001</v>
      </c>
    </row>
    <row r="54" spans="2:8" ht="15" thickBot="1" x14ac:dyDescent="0.35">
      <c r="B54" s="3"/>
      <c r="C54" s="30" t="s">
        <v>80</v>
      </c>
      <c r="D54" s="25"/>
      <c r="E54" s="25"/>
      <c r="F54" s="25"/>
      <c r="G54" s="44">
        <f>SUM(G51:G53)</f>
        <v>5.5259999999999998</v>
      </c>
      <c r="H54" s="29">
        <f>SUM(H51:H53)</f>
        <v>11.516999999999999</v>
      </c>
    </row>
    <row r="55" spans="2:8" ht="15" thickTop="1" x14ac:dyDescent="0.3">
      <c r="B55" s="3"/>
      <c r="C55" s="3"/>
    </row>
    <row r="56" spans="2:8" ht="18" thickBot="1" x14ac:dyDescent="0.4">
      <c r="B56" s="35" t="s">
        <v>32</v>
      </c>
      <c r="C56" s="35"/>
      <c r="D56" s="36"/>
      <c r="E56" s="36"/>
      <c r="F56" s="36"/>
      <c r="G56" s="36"/>
      <c r="H56" s="36"/>
    </row>
    <row r="57" spans="2:8" ht="15" thickTop="1" x14ac:dyDescent="0.3">
      <c r="B57" s="3"/>
      <c r="C57" s="3" t="s">
        <v>21</v>
      </c>
      <c r="G57" s="61">
        <f>G20</f>
        <v>0.7</v>
      </c>
      <c r="H57" s="61">
        <f>H20</f>
        <v>1.1000000000000001</v>
      </c>
    </row>
    <row r="58" spans="2:8" x14ac:dyDescent="0.3">
      <c r="B58" s="3"/>
      <c r="C58" s="3" t="s">
        <v>8</v>
      </c>
      <c r="G58" s="61">
        <f t="shared" ref="G58:H58" si="15">G21</f>
        <v>0.72224835371589835</v>
      </c>
      <c r="H58" s="61">
        <f t="shared" si="15"/>
        <v>1.8889934148635936</v>
      </c>
    </row>
    <row r="59" spans="2:8" x14ac:dyDescent="0.3">
      <c r="B59" s="3"/>
      <c r="C59" s="3" t="s">
        <v>9</v>
      </c>
      <c r="G59" s="61">
        <f t="shared" ref="G59:H59" si="16">G22</f>
        <v>0.11767110795400003</v>
      </c>
      <c r="H59" s="61">
        <f t="shared" si="16"/>
        <v>0.22267110795400002</v>
      </c>
    </row>
    <row r="60" spans="2:8" x14ac:dyDescent="0.3">
      <c r="B60" s="3"/>
      <c r="C60" s="3" t="s">
        <v>5</v>
      </c>
      <c r="G60" s="61">
        <f t="shared" ref="G60:H60" si="17">G23</f>
        <v>0</v>
      </c>
      <c r="H60" s="61">
        <f t="shared" si="17"/>
        <v>10</v>
      </c>
    </row>
    <row r="61" spans="2:8" x14ac:dyDescent="0.3">
      <c r="B61" s="62"/>
      <c r="C61" s="62" t="s">
        <v>201</v>
      </c>
      <c r="D61" s="55"/>
      <c r="E61" s="55"/>
      <c r="F61" s="55"/>
      <c r="G61" s="61">
        <f t="shared" ref="G61:H61" si="18">G24</f>
        <v>0</v>
      </c>
      <c r="H61" s="61">
        <f t="shared" si="18"/>
        <v>4</v>
      </c>
    </row>
    <row r="62" spans="2:8" x14ac:dyDescent="0.3">
      <c r="B62" s="62"/>
      <c r="C62" s="62" t="s">
        <v>203</v>
      </c>
      <c r="D62" s="55"/>
      <c r="E62" s="55"/>
      <c r="F62" s="55"/>
      <c r="G62" s="61">
        <f t="shared" ref="G62:H62" si="19">G25</f>
        <v>0</v>
      </c>
      <c r="H62" s="61">
        <f t="shared" si="19"/>
        <v>5</v>
      </c>
    </row>
    <row r="63" spans="2:8" x14ac:dyDescent="0.3">
      <c r="B63" s="62"/>
      <c r="C63" s="62" t="s">
        <v>57</v>
      </c>
      <c r="D63" s="55"/>
      <c r="E63" s="55"/>
      <c r="F63" s="55"/>
      <c r="G63" s="61">
        <f t="shared" ref="G63:H63" si="20">G26</f>
        <v>0.23098791925048473</v>
      </c>
      <c r="H63" s="61">
        <f t="shared" si="20"/>
        <v>1.9817496784226392</v>
      </c>
    </row>
    <row r="64" spans="2:8" ht="15" thickBot="1" x14ac:dyDescent="0.35">
      <c r="B64" s="62"/>
      <c r="C64" s="64" t="s">
        <v>80</v>
      </c>
      <c r="D64" s="65"/>
      <c r="E64" s="65"/>
      <c r="F64" s="65"/>
      <c r="G64" s="66">
        <f>SUM(G57:G63)</f>
        <v>1.770907380920383</v>
      </c>
      <c r="H64" s="67">
        <f>SUM(H57:H63)</f>
        <v>24.19341420124023</v>
      </c>
    </row>
    <row r="65" spans="2:8" ht="15" thickTop="1" x14ac:dyDescent="0.3">
      <c r="B65" s="62"/>
      <c r="C65" s="62"/>
      <c r="D65" s="55"/>
      <c r="E65" s="55"/>
      <c r="F65" s="55"/>
      <c r="G65" s="55"/>
      <c r="H65" s="55"/>
    </row>
    <row r="66" spans="2:8" ht="18" thickBot="1" x14ac:dyDescent="0.4">
      <c r="B66" s="68" t="s">
        <v>34</v>
      </c>
      <c r="C66" s="68"/>
      <c r="D66" s="69"/>
      <c r="E66" s="69"/>
      <c r="F66" s="69"/>
      <c r="G66" s="69"/>
      <c r="H66" s="69"/>
    </row>
    <row r="67" spans="2:8" ht="15" thickTop="1" x14ac:dyDescent="0.3">
      <c r="B67" s="62"/>
      <c r="C67" s="62" t="s">
        <v>10</v>
      </c>
      <c r="D67" s="55"/>
      <c r="E67" s="55"/>
      <c r="F67" s="55"/>
      <c r="G67" s="63">
        <f>Q30</f>
        <v>5.2751646284101603E-2</v>
      </c>
      <c r="H67" s="63">
        <f>R30</f>
        <v>5.2751646284101603E-2</v>
      </c>
    </row>
    <row r="68" spans="2:8" x14ac:dyDescent="0.3">
      <c r="B68" s="62"/>
      <c r="C68" s="62" t="s">
        <v>11</v>
      </c>
      <c r="D68" s="55"/>
      <c r="E68" s="55"/>
      <c r="F68" s="55"/>
      <c r="G68" s="63">
        <f t="shared" ref="G68:H68" si="21">Q31</f>
        <v>1.4999999999999999E-2</v>
      </c>
      <c r="H68" s="63">
        <f t="shared" si="21"/>
        <v>1.25</v>
      </c>
    </row>
    <row r="69" spans="2:8" x14ac:dyDescent="0.3">
      <c r="B69" s="62"/>
      <c r="C69" s="62" t="s">
        <v>12</v>
      </c>
      <c r="D69" s="55"/>
      <c r="E69" s="55"/>
      <c r="F69" s="55"/>
      <c r="G69" s="63">
        <f t="shared" ref="G69:H69" si="22">Q32</f>
        <v>0.25870178739416744</v>
      </c>
      <c r="H69" s="63">
        <f t="shared" si="22"/>
        <v>0.25870178739416744</v>
      </c>
    </row>
    <row r="70" spans="2:8" x14ac:dyDescent="0.3">
      <c r="B70" s="62"/>
      <c r="C70" s="62" t="s">
        <v>109</v>
      </c>
      <c r="D70" s="55"/>
      <c r="E70" s="55"/>
      <c r="F70" s="55"/>
      <c r="G70" s="63">
        <f t="shared" ref="G70:H70" si="23">Q33</f>
        <v>6.5290686735653816E-2</v>
      </c>
      <c r="H70" s="63">
        <f t="shared" si="23"/>
        <v>0.31229068673565386</v>
      </c>
    </row>
    <row r="71" spans="2:8" ht="15" thickBot="1" x14ac:dyDescent="0.35">
      <c r="C71" s="30" t="s">
        <v>80</v>
      </c>
      <c r="D71" s="25"/>
      <c r="E71" s="25"/>
      <c r="F71" s="25"/>
      <c r="G71" s="44">
        <f t="shared" ref="G71:H71" si="24">SUM(G67:G70)</f>
        <v>0.39174412041392287</v>
      </c>
      <c r="H71" s="26">
        <f t="shared" si="24"/>
        <v>1.8737441204139229</v>
      </c>
    </row>
    <row r="72" spans="2:8" ht="15" thickTop="1" x14ac:dyDescent="0.3"/>
    <row r="73" spans="2:8" ht="18.600000000000001" thickBot="1" x14ac:dyDescent="0.4">
      <c r="B73" s="47" t="s">
        <v>168</v>
      </c>
      <c r="C73" s="47"/>
      <c r="D73" s="47"/>
      <c r="E73" s="47"/>
      <c r="F73" s="47"/>
      <c r="G73" s="48">
        <f t="shared" ref="G73" si="25">G71+G64+G54</f>
        <v>7.6886515013343057</v>
      </c>
      <c r="H73" s="48">
        <f>H71+H64+H54</f>
        <v>37.584158321654158</v>
      </c>
    </row>
    <row r="74" spans="2:8" ht="15" thickTop="1" x14ac:dyDescent="0.3"/>
    <row r="75" spans="2:8" ht="21.6" thickBot="1" x14ac:dyDescent="0.45">
      <c r="B75" s="49" t="s">
        <v>223</v>
      </c>
      <c r="C75" s="49"/>
      <c r="D75" s="49"/>
      <c r="E75" s="49"/>
      <c r="F75" s="49"/>
      <c r="G75" s="50">
        <f>ROUND(G73*50000,0)</f>
        <v>384433</v>
      </c>
      <c r="H75" s="50">
        <f>ROUND(H73*50000,0)</f>
        <v>1879208</v>
      </c>
    </row>
    <row r="76" spans="2:8" ht="15" thickTop="1" x14ac:dyDescent="0.3"/>
    <row r="78" spans="2:8" ht="21.6" thickBot="1" x14ac:dyDescent="0.45">
      <c r="B78" s="49" t="s">
        <v>215</v>
      </c>
      <c r="C78" s="49"/>
      <c r="D78" s="49"/>
      <c r="E78" s="49"/>
      <c r="F78" s="49"/>
      <c r="G78" s="50">
        <f>ROUND(G75/172,0)</f>
        <v>2235</v>
      </c>
      <c r="H78" s="50">
        <f>ROUND(H75/172,0)</f>
        <v>10926</v>
      </c>
    </row>
    <row r="79" spans="2:8" ht="15" thickTop="1" x14ac:dyDescent="0.3">
      <c r="B79" s="58"/>
    </row>
    <row r="80" spans="2:8" ht="21.6" thickBot="1" x14ac:dyDescent="0.45">
      <c r="B80" s="49" t="s">
        <v>225</v>
      </c>
      <c r="C80" s="49"/>
      <c r="D80" s="49"/>
      <c r="E80" s="49"/>
      <c r="F80" s="49"/>
      <c r="G80" s="50">
        <f>ROUND(G78*26373,0)</f>
        <v>58943655</v>
      </c>
      <c r="H80" s="50">
        <f>ROUND(H78*26373,0)</f>
        <v>288151398</v>
      </c>
    </row>
    <row r="81" ht="15" thickTop="1" x14ac:dyDescent="0.3"/>
  </sheetData>
  <mergeCells count="4">
    <mergeCell ref="G12:H12"/>
    <mergeCell ref="O12:P12"/>
    <mergeCell ref="Q12:R12"/>
    <mergeCell ref="G49:H49"/>
  </mergeCells>
  <pageMargins left="0.70866141732283472" right="0.70866141732283472" top="0.74803149606299213" bottom="0.74803149606299213" header="0.31496062992125984" footer="0.31496062992125984"/>
  <pageSetup paperSize="3" scale="8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FDA-0D75-4FC1-9CC5-555F7EE1BF4D}">
  <dimension ref="A2:O37"/>
  <sheetViews>
    <sheetView topLeftCell="A31" workbookViewId="0">
      <selection activeCell="E29" sqref="E29"/>
    </sheetView>
  </sheetViews>
  <sheetFormatPr defaultRowHeight="14.4" x14ac:dyDescent="0.3"/>
  <cols>
    <col min="2" max="2" width="11.6640625" customWidth="1"/>
    <col min="3" max="3" width="11" customWidth="1"/>
    <col min="4" max="4" width="11.88671875" customWidth="1"/>
    <col min="5" max="5" width="10.5546875" bestFit="1" customWidth="1"/>
  </cols>
  <sheetData>
    <row r="2" spans="1:9" ht="15" thickBot="1" x14ac:dyDescent="0.35">
      <c r="A2" s="22" t="s">
        <v>14</v>
      </c>
    </row>
    <row r="3" spans="1:9" x14ac:dyDescent="0.3">
      <c r="B3" t="s">
        <v>15</v>
      </c>
    </row>
    <row r="4" spans="1:9" x14ac:dyDescent="0.3">
      <c r="B4" t="s">
        <v>16</v>
      </c>
    </row>
    <row r="5" spans="1:9" x14ac:dyDescent="0.3">
      <c r="C5" t="s">
        <v>17</v>
      </c>
    </row>
    <row r="6" spans="1:9" x14ac:dyDescent="0.3">
      <c r="C6" t="s">
        <v>19</v>
      </c>
    </row>
    <row r="7" spans="1:9" x14ac:dyDescent="0.3">
      <c r="C7" t="s">
        <v>18</v>
      </c>
    </row>
    <row r="8" spans="1:9" x14ac:dyDescent="0.3">
      <c r="C8" s="55">
        <v>1120</v>
      </c>
      <c r="D8" t="s">
        <v>24</v>
      </c>
    </row>
    <row r="9" spans="1:9" x14ac:dyDescent="0.3">
      <c r="C9" s="55">
        <v>53150</v>
      </c>
      <c r="D9" t="s">
        <v>25</v>
      </c>
    </row>
    <row r="10" spans="1:9" x14ac:dyDescent="0.3">
      <c r="B10" t="s">
        <v>149</v>
      </c>
    </row>
    <row r="11" spans="1:9" x14ac:dyDescent="0.3">
      <c r="B11" s="54">
        <v>119950</v>
      </c>
      <c r="C11" t="s">
        <v>122</v>
      </c>
    </row>
    <row r="12" spans="1:9" x14ac:dyDescent="0.3">
      <c r="C12" t="s">
        <v>22</v>
      </c>
    </row>
    <row r="13" spans="1:9" ht="15" thickBot="1" x14ac:dyDescent="0.35"/>
    <row r="14" spans="1:9" ht="15" thickBot="1" x14ac:dyDescent="0.35">
      <c r="B14" s="6" t="s">
        <v>148</v>
      </c>
      <c r="C14" s="7"/>
      <c r="D14" s="7"/>
      <c r="E14" s="7"/>
      <c r="F14" s="7"/>
      <c r="G14" s="7"/>
      <c r="H14" s="7"/>
      <c r="I14" s="8"/>
    </row>
    <row r="15" spans="1:9" x14ac:dyDescent="0.3">
      <c r="B15" s="6" t="s">
        <v>28</v>
      </c>
      <c r="C15" s="10"/>
      <c r="D15" s="10"/>
      <c r="E15" s="10"/>
      <c r="F15" s="10"/>
      <c r="G15" s="10"/>
      <c r="H15" s="10"/>
      <c r="I15" s="11"/>
    </row>
    <row r="16" spans="1:9" x14ac:dyDescent="0.3">
      <c r="B16" s="9">
        <f>B11*0.6</f>
        <v>71970</v>
      </c>
      <c r="C16" s="23" t="s">
        <v>49</v>
      </c>
      <c r="D16" s="10"/>
      <c r="E16" s="10"/>
      <c r="F16" s="10"/>
      <c r="G16" s="10"/>
      <c r="H16" s="10"/>
      <c r="I16" s="11"/>
    </row>
    <row r="17" spans="2:15" x14ac:dyDescent="0.3">
      <c r="B17" s="9" t="s">
        <v>48</v>
      </c>
      <c r="C17" s="23" t="s">
        <v>38</v>
      </c>
      <c r="D17" s="10" t="s">
        <v>39</v>
      </c>
      <c r="E17" s="10"/>
      <c r="F17" s="10"/>
      <c r="G17" s="10"/>
      <c r="H17" s="10"/>
      <c r="I17" s="11"/>
    </row>
    <row r="18" spans="2:15" x14ac:dyDescent="0.3">
      <c r="B18" s="12">
        <f>B16/C8</f>
        <v>64.258928571428569</v>
      </c>
      <c r="C18" s="18">
        <f>ROUND(B18*0.75,0.1)</f>
        <v>48</v>
      </c>
      <c r="D18" s="18">
        <f>ROUND(B18*1.25,0.1)</f>
        <v>80</v>
      </c>
      <c r="E18" s="10" t="s">
        <v>26</v>
      </c>
      <c r="F18" s="10"/>
      <c r="G18" s="10"/>
      <c r="H18" s="10"/>
      <c r="I18" s="11"/>
    </row>
    <row r="19" spans="2:15" ht="15" thickBot="1" x14ac:dyDescent="0.35">
      <c r="B19" s="13">
        <f>B16/C9</f>
        <v>1.3540921919096895</v>
      </c>
      <c r="C19" s="20">
        <f>ROUND(B19*0.75,1)</f>
        <v>1</v>
      </c>
      <c r="D19" s="20">
        <f>ROUND(B19*1.25,1)</f>
        <v>1.7</v>
      </c>
      <c r="E19" s="14" t="s">
        <v>27</v>
      </c>
      <c r="F19" s="14"/>
      <c r="G19" s="14"/>
      <c r="H19" s="14"/>
      <c r="I19" s="15"/>
    </row>
    <row r="21" spans="2:15" ht="15" thickBot="1" x14ac:dyDescent="0.35"/>
    <row r="22" spans="2:15" x14ac:dyDescent="0.3">
      <c r="B22" s="6" t="s">
        <v>29</v>
      </c>
      <c r="C22" s="7" t="s">
        <v>30</v>
      </c>
      <c r="D22" s="7"/>
      <c r="E22" s="7"/>
      <c r="F22" s="7"/>
      <c r="G22" s="7"/>
      <c r="H22" s="7"/>
      <c r="I22" s="7"/>
      <c r="J22" s="7"/>
      <c r="K22" s="7"/>
      <c r="L22" s="7"/>
      <c r="M22" s="7"/>
      <c r="N22" s="8"/>
    </row>
    <row r="23" spans="2:15" x14ac:dyDescent="0.3">
      <c r="B23" s="16"/>
      <c r="C23" s="10" t="s">
        <v>31</v>
      </c>
      <c r="D23" s="10"/>
      <c r="E23" s="10"/>
      <c r="F23" s="10"/>
      <c r="G23" s="10"/>
      <c r="H23" s="10"/>
      <c r="I23" s="10"/>
      <c r="J23" s="10"/>
      <c r="K23" s="10"/>
      <c r="L23" s="10"/>
      <c r="M23" s="10"/>
      <c r="N23" s="11"/>
    </row>
    <row r="24" spans="2:15" x14ac:dyDescent="0.3">
      <c r="B24" s="16"/>
      <c r="C24" s="10"/>
      <c r="D24" s="10" t="s">
        <v>36</v>
      </c>
      <c r="E24" s="10"/>
      <c r="F24" s="10"/>
      <c r="G24" s="10"/>
      <c r="H24" s="10"/>
      <c r="I24" s="10"/>
      <c r="J24" s="10"/>
      <c r="K24" s="10"/>
      <c r="L24" s="10"/>
      <c r="M24" s="10"/>
      <c r="N24" s="11"/>
    </row>
    <row r="25" spans="2:15" x14ac:dyDescent="0.3">
      <c r="B25" s="16"/>
      <c r="C25" s="10"/>
      <c r="D25" s="10" t="s">
        <v>37</v>
      </c>
      <c r="E25" s="10"/>
      <c r="F25" s="10"/>
      <c r="G25" s="10"/>
      <c r="H25" s="10"/>
      <c r="I25" s="10"/>
      <c r="J25" s="10"/>
      <c r="K25" s="10"/>
      <c r="L25" s="10"/>
      <c r="M25" s="10"/>
      <c r="N25" s="11"/>
    </row>
    <row r="26" spans="2:15" x14ac:dyDescent="0.3">
      <c r="B26" s="16"/>
      <c r="C26" s="10"/>
      <c r="D26" s="21" t="s">
        <v>38</v>
      </c>
      <c r="E26" s="21" t="s">
        <v>39</v>
      </c>
      <c r="F26" s="10"/>
      <c r="G26" s="10"/>
      <c r="H26" s="10"/>
      <c r="I26" s="10"/>
      <c r="J26" s="10"/>
      <c r="K26" s="10"/>
      <c r="L26" s="10"/>
      <c r="M26" s="10"/>
      <c r="N26" s="11"/>
    </row>
    <row r="27" spans="2:15" x14ac:dyDescent="0.3">
      <c r="B27" s="16"/>
      <c r="C27" s="10"/>
      <c r="D27" s="17">
        <f>(1000*0.75)+(5000*0.1)</f>
        <v>1250</v>
      </c>
      <c r="E27" s="17">
        <f>(5000*0.75)+(15000*0.1)</f>
        <v>5250</v>
      </c>
      <c r="F27" s="10"/>
      <c r="G27" s="10"/>
      <c r="H27" s="10"/>
      <c r="I27" s="10"/>
      <c r="J27" s="10"/>
      <c r="K27" s="10"/>
      <c r="L27" s="10"/>
      <c r="M27" s="10"/>
      <c r="N27" s="11"/>
    </row>
    <row r="28" spans="2:15" x14ac:dyDescent="0.3">
      <c r="B28" s="16"/>
      <c r="C28" s="10"/>
      <c r="D28" s="18">
        <f>D27/C8</f>
        <v>1.1160714285714286</v>
      </c>
      <c r="E28" s="18">
        <f>E27/C8</f>
        <v>4.6875</v>
      </c>
      <c r="F28" s="10" t="s">
        <v>40</v>
      </c>
      <c r="G28" s="10"/>
      <c r="H28" s="10"/>
      <c r="I28" s="10"/>
      <c r="J28" s="10"/>
      <c r="K28" s="10"/>
      <c r="L28" s="10"/>
      <c r="M28" s="10"/>
      <c r="N28" s="11"/>
    </row>
    <row r="29" spans="2:15" ht="15" thickBot="1" x14ac:dyDescent="0.35">
      <c r="B29" s="19"/>
      <c r="C29" s="14"/>
      <c r="D29" s="20">
        <f>D27/C9</f>
        <v>2.3518344308560677E-2</v>
      </c>
      <c r="E29" s="20">
        <f>E27/C9</f>
        <v>9.8777046095954849E-2</v>
      </c>
      <c r="F29" s="14" t="s">
        <v>41</v>
      </c>
      <c r="G29" s="14"/>
      <c r="H29" s="14"/>
      <c r="I29" s="14"/>
      <c r="J29" s="14"/>
      <c r="K29" s="14"/>
      <c r="L29" s="14"/>
      <c r="M29" s="14"/>
      <c r="N29" s="15"/>
    </row>
    <row r="31" spans="2:15" ht="15" thickBot="1" x14ac:dyDescent="0.35"/>
    <row r="32" spans="2:15" x14ac:dyDescent="0.3">
      <c r="B32" s="6" t="s">
        <v>42</v>
      </c>
      <c r="C32" s="7" t="s">
        <v>43</v>
      </c>
      <c r="D32" s="7"/>
      <c r="E32" s="7"/>
      <c r="F32" s="7"/>
      <c r="G32" s="7"/>
      <c r="H32" s="7"/>
      <c r="I32" s="7"/>
      <c r="J32" s="7"/>
      <c r="K32" s="7"/>
      <c r="L32" s="7"/>
      <c r="M32" s="7"/>
      <c r="N32" s="7"/>
      <c r="O32" s="8"/>
    </row>
    <row r="33" spans="2:15" x14ac:dyDescent="0.3">
      <c r="B33" s="16"/>
      <c r="C33" s="10" t="s">
        <v>23</v>
      </c>
      <c r="D33" s="10"/>
      <c r="E33" s="10"/>
      <c r="F33" s="10"/>
      <c r="G33" s="10"/>
      <c r="H33" s="10"/>
      <c r="I33" s="10"/>
      <c r="J33" s="10"/>
      <c r="K33" s="10"/>
      <c r="L33" s="10"/>
      <c r="M33" s="10"/>
      <c r="N33" s="10"/>
      <c r="O33" s="11"/>
    </row>
    <row r="34" spans="2:15" x14ac:dyDescent="0.3">
      <c r="B34" s="16"/>
      <c r="C34" s="10"/>
      <c r="D34" s="10" t="s">
        <v>44</v>
      </c>
      <c r="E34" s="10"/>
      <c r="F34" s="10"/>
      <c r="G34" s="10"/>
      <c r="H34" s="10"/>
      <c r="I34" s="10"/>
      <c r="J34" s="10"/>
      <c r="K34" s="10"/>
      <c r="L34" s="10"/>
      <c r="M34" s="10"/>
      <c r="N34" s="10"/>
      <c r="O34" s="11"/>
    </row>
    <row r="35" spans="2:15" x14ac:dyDescent="0.3">
      <c r="B35" s="16"/>
      <c r="C35" s="10"/>
      <c r="D35" s="10" t="s">
        <v>45</v>
      </c>
      <c r="E35" s="10"/>
      <c r="F35" s="10"/>
      <c r="G35" s="10"/>
      <c r="H35" s="10"/>
      <c r="I35" s="10"/>
      <c r="J35" s="10"/>
      <c r="K35" s="10"/>
      <c r="L35" s="10"/>
      <c r="M35" s="10"/>
      <c r="N35" s="10"/>
      <c r="O35" s="11"/>
    </row>
    <row r="36" spans="2:15" x14ac:dyDescent="0.3">
      <c r="B36" s="16"/>
      <c r="C36" s="10"/>
      <c r="D36" s="10" t="s">
        <v>46</v>
      </c>
      <c r="E36" s="10"/>
      <c r="F36" s="10"/>
      <c r="G36" s="10"/>
      <c r="H36" s="10"/>
      <c r="I36" s="10"/>
      <c r="J36" s="10"/>
      <c r="K36" s="10"/>
      <c r="L36" s="10"/>
      <c r="M36" s="10"/>
      <c r="N36" s="10"/>
      <c r="O36" s="11"/>
    </row>
    <row r="37" spans="2:15" ht="15" thickBot="1" x14ac:dyDescent="0.35">
      <c r="B37" s="19"/>
      <c r="C37" s="14" t="s">
        <v>47</v>
      </c>
      <c r="D37" s="14"/>
      <c r="E37" s="14"/>
      <c r="F37" s="14"/>
      <c r="G37" s="14"/>
      <c r="H37" s="14"/>
      <c r="I37" s="14"/>
      <c r="J37" s="14"/>
      <c r="K37" s="14"/>
      <c r="L37" s="14"/>
      <c r="M37" s="14"/>
      <c r="N37" s="14"/>
      <c r="O37"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E0EB-2663-4887-95F3-BB29C34ECF64}">
  <dimension ref="A2:U191"/>
  <sheetViews>
    <sheetView topLeftCell="A124" workbookViewId="0">
      <selection activeCell="B136" sqref="B136"/>
    </sheetView>
  </sheetViews>
  <sheetFormatPr defaultRowHeight="14.4" x14ac:dyDescent="0.3"/>
  <cols>
    <col min="2" max="2" width="18" customWidth="1"/>
    <col min="3" max="3" width="10.88671875" bestFit="1" customWidth="1"/>
    <col min="4" max="4" width="12.5546875" bestFit="1" customWidth="1"/>
    <col min="5" max="7" width="11.5546875" bestFit="1" customWidth="1"/>
  </cols>
  <sheetData>
    <row r="2" spans="1:9" ht="15" thickBot="1" x14ac:dyDescent="0.35">
      <c r="A2" s="22" t="s">
        <v>14</v>
      </c>
    </row>
    <row r="3" spans="1:9" x14ac:dyDescent="0.3">
      <c r="B3" t="s">
        <v>15</v>
      </c>
    </row>
    <row r="4" spans="1:9" x14ac:dyDescent="0.3">
      <c r="B4" t="s">
        <v>16</v>
      </c>
    </row>
    <row r="5" spans="1:9" x14ac:dyDescent="0.3">
      <c r="C5" t="s">
        <v>17</v>
      </c>
    </row>
    <row r="6" spans="1:9" x14ac:dyDescent="0.3">
      <c r="C6" t="s">
        <v>19</v>
      </c>
    </row>
    <row r="7" spans="1:9" x14ac:dyDescent="0.3">
      <c r="C7" t="s">
        <v>18</v>
      </c>
    </row>
    <row r="8" spans="1:9" x14ac:dyDescent="0.3">
      <c r="C8" s="55">
        <f>Preconstruction!C8</f>
        <v>1120</v>
      </c>
      <c r="D8" t="s">
        <v>24</v>
      </c>
    </row>
    <row r="9" spans="1:9" x14ac:dyDescent="0.3">
      <c r="C9" s="55">
        <f>Preconstruction!C9</f>
        <v>53150</v>
      </c>
      <c r="D9" t="s">
        <v>25</v>
      </c>
    </row>
    <row r="11" spans="1:9" x14ac:dyDescent="0.3">
      <c r="B11" s="53">
        <f>Preconstruction!B11</f>
        <v>119950</v>
      </c>
      <c r="C11" t="s">
        <v>20</v>
      </c>
    </row>
    <row r="12" spans="1:9" x14ac:dyDescent="0.3">
      <c r="C12" t="s">
        <v>22</v>
      </c>
    </row>
    <row r="13" spans="1:9" ht="15" thickBot="1" x14ac:dyDescent="0.35"/>
    <row r="14" spans="1:9" ht="15" thickBot="1" x14ac:dyDescent="0.35">
      <c r="B14" s="6" t="s">
        <v>147</v>
      </c>
      <c r="C14" s="7"/>
      <c r="D14" s="7"/>
      <c r="E14" s="7"/>
      <c r="F14" s="7"/>
      <c r="G14" s="7"/>
      <c r="H14" s="7"/>
      <c r="I14" s="8"/>
    </row>
    <row r="15" spans="1:9" x14ac:dyDescent="0.3">
      <c r="B15" s="6" t="s">
        <v>55</v>
      </c>
      <c r="C15" s="10"/>
      <c r="D15" s="10"/>
      <c r="E15" s="10"/>
      <c r="F15" s="10"/>
      <c r="G15" s="10"/>
      <c r="H15" s="10"/>
      <c r="I15" s="11"/>
    </row>
    <row r="16" spans="1:9" x14ac:dyDescent="0.3">
      <c r="B16" s="9">
        <f>B11*0.4</f>
        <v>47980</v>
      </c>
      <c r="C16" s="23" t="s">
        <v>150</v>
      </c>
      <c r="D16" s="10"/>
      <c r="E16" s="10"/>
      <c r="F16" s="10"/>
      <c r="G16" s="10"/>
      <c r="H16" s="10"/>
      <c r="I16" s="11"/>
    </row>
    <row r="17" spans="2:21" x14ac:dyDescent="0.3">
      <c r="B17" s="9" t="s">
        <v>48</v>
      </c>
      <c r="C17" s="23" t="s">
        <v>38</v>
      </c>
      <c r="D17" s="10" t="s">
        <v>39</v>
      </c>
      <c r="E17" s="10"/>
      <c r="F17" s="10"/>
      <c r="G17" s="10"/>
      <c r="H17" s="10"/>
      <c r="I17" s="11"/>
    </row>
    <row r="18" spans="2:21" x14ac:dyDescent="0.3">
      <c r="B18" s="12">
        <f>B16/C8</f>
        <v>42.839285714285715</v>
      </c>
      <c r="C18" s="18">
        <f>ROUND(B18*0.75,-1)</f>
        <v>30</v>
      </c>
      <c r="D18" s="18">
        <f>ROUND(B18*1.25,-1)</f>
        <v>50</v>
      </c>
      <c r="E18" s="10" t="s">
        <v>26</v>
      </c>
      <c r="F18" s="10"/>
      <c r="G18" s="10"/>
      <c r="H18" s="10"/>
      <c r="I18" s="11"/>
    </row>
    <row r="19" spans="2:21" ht="15" thickBot="1" x14ac:dyDescent="0.35">
      <c r="B19" s="13">
        <f>B16/C9</f>
        <v>0.90272812793979307</v>
      </c>
      <c r="C19" s="20">
        <f>ROUND(B19*0.75,1)</f>
        <v>0.7</v>
      </c>
      <c r="D19" s="20">
        <f>ROUND(B19*1.25,1)</f>
        <v>1.1000000000000001</v>
      </c>
      <c r="E19" s="14" t="s">
        <v>27</v>
      </c>
      <c r="F19" s="14"/>
      <c r="G19" s="14"/>
      <c r="H19" s="14"/>
      <c r="I19" s="15"/>
    </row>
    <row r="20" spans="2:21" ht="15" thickBot="1" x14ac:dyDescent="0.35"/>
    <row r="21" spans="2:21" x14ac:dyDescent="0.3">
      <c r="B21" s="6" t="s">
        <v>56</v>
      </c>
      <c r="C21" s="7"/>
      <c r="D21" s="7"/>
      <c r="E21" s="7"/>
      <c r="F21" s="7"/>
      <c r="G21" s="7"/>
      <c r="H21" s="7"/>
      <c r="I21" s="7"/>
      <c r="J21" s="7"/>
      <c r="K21" s="7"/>
      <c r="L21" s="7"/>
      <c r="M21" s="7"/>
      <c r="N21" s="7"/>
      <c r="O21" s="7"/>
      <c r="P21" s="7"/>
      <c r="Q21" s="7"/>
      <c r="R21" s="7"/>
      <c r="S21" s="7"/>
      <c r="T21" s="7"/>
      <c r="U21" s="8"/>
    </row>
    <row r="22" spans="2:21" x14ac:dyDescent="0.3">
      <c r="B22" s="16" t="s">
        <v>23</v>
      </c>
      <c r="C22" s="10"/>
      <c r="D22" s="10"/>
      <c r="E22" s="10"/>
      <c r="F22" s="10"/>
      <c r="G22" s="10"/>
      <c r="H22" s="10"/>
      <c r="I22" s="10"/>
      <c r="J22" s="10"/>
      <c r="K22" s="10"/>
      <c r="L22" s="10"/>
      <c r="M22" s="10"/>
      <c r="N22" s="10"/>
      <c r="O22" s="10"/>
      <c r="P22" s="10"/>
      <c r="Q22" s="10"/>
      <c r="R22" s="10"/>
      <c r="S22" s="10"/>
      <c r="T22" s="10"/>
      <c r="U22" s="11"/>
    </row>
    <row r="23" spans="2:21" x14ac:dyDescent="0.3">
      <c r="B23" s="16"/>
      <c r="C23" s="10" t="s">
        <v>152</v>
      </c>
      <c r="D23" s="10"/>
      <c r="E23" s="10"/>
      <c r="F23" s="10"/>
      <c r="G23" s="10"/>
      <c r="H23" s="10"/>
      <c r="I23" s="10"/>
      <c r="J23" s="10"/>
      <c r="K23" s="10"/>
      <c r="L23" s="10"/>
      <c r="M23" s="10"/>
      <c r="N23" s="10"/>
      <c r="O23" s="10"/>
      <c r="P23" s="10"/>
      <c r="Q23" s="10"/>
      <c r="R23" s="10"/>
      <c r="S23" s="10"/>
      <c r="T23" s="10"/>
      <c r="U23" s="11"/>
    </row>
    <row r="24" spans="2:21" x14ac:dyDescent="0.3">
      <c r="B24" s="16"/>
      <c r="C24" s="10"/>
      <c r="E24" s="10" t="s">
        <v>60</v>
      </c>
      <c r="F24" s="24">
        <v>0.05</v>
      </c>
      <c r="G24" s="24">
        <v>0.1</v>
      </c>
      <c r="H24" s="10"/>
      <c r="I24" s="10"/>
      <c r="J24" s="10"/>
      <c r="K24" s="10"/>
      <c r="L24" s="10"/>
      <c r="M24" s="10"/>
      <c r="N24" s="10"/>
      <c r="O24" s="10"/>
      <c r="P24" s="10"/>
      <c r="Q24" s="10"/>
      <c r="R24" s="10"/>
      <c r="S24" s="10"/>
      <c r="T24" s="10"/>
      <c r="U24" s="11"/>
    </row>
    <row r="25" spans="2:21" x14ac:dyDescent="0.3">
      <c r="B25" s="16"/>
      <c r="C25" s="10"/>
      <c r="E25" s="56" t="s">
        <v>61</v>
      </c>
      <c r="F25" s="10">
        <v>1</v>
      </c>
      <c r="G25" s="10" t="s">
        <v>62</v>
      </c>
      <c r="H25" s="10"/>
      <c r="I25" s="10"/>
      <c r="J25" s="10"/>
      <c r="K25" s="10"/>
      <c r="L25" s="10"/>
      <c r="M25" s="10"/>
      <c r="N25" s="10"/>
      <c r="O25" s="10"/>
      <c r="P25" s="10"/>
      <c r="Q25" s="10"/>
      <c r="R25" s="10"/>
      <c r="S25" s="10"/>
      <c r="T25" s="10"/>
      <c r="U25" s="11"/>
    </row>
    <row r="26" spans="2:21" x14ac:dyDescent="0.3">
      <c r="B26" s="16"/>
      <c r="C26" s="10"/>
      <c r="E26" s="56" t="s">
        <v>63</v>
      </c>
      <c r="F26" s="17">
        <v>100</v>
      </c>
      <c r="G26" s="10"/>
      <c r="H26" s="10"/>
      <c r="I26" s="10"/>
      <c r="J26" s="10"/>
      <c r="K26" s="10"/>
      <c r="L26" s="10"/>
      <c r="M26" s="10"/>
      <c r="N26" s="10"/>
      <c r="O26" s="10"/>
      <c r="P26" s="10"/>
      <c r="Q26" s="10"/>
      <c r="R26" s="10"/>
      <c r="S26" s="10"/>
      <c r="T26" s="10"/>
      <c r="U26" s="11"/>
    </row>
    <row r="27" spans="2:21" x14ac:dyDescent="0.3">
      <c r="B27" s="16"/>
      <c r="C27" s="10"/>
      <c r="E27" s="56" t="s">
        <v>64</v>
      </c>
      <c r="F27" s="10">
        <v>10</v>
      </c>
      <c r="G27" s="10" t="s">
        <v>65</v>
      </c>
      <c r="H27" s="10"/>
      <c r="I27" s="10"/>
      <c r="J27" s="10"/>
      <c r="K27" s="10"/>
      <c r="L27" s="10"/>
      <c r="M27" s="10"/>
      <c r="N27" s="10"/>
      <c r="O27" s="10"/>
      <c r="P27" s="10"/>
      <c r="Q27" s="10"/>
      <c r="R27" s="10"/>
      <c r="S27" s="10"/>
      <c r="T27" s="10"/>
      <c r="U27" s="11"/>
    </row>
    <row r="28" spans="2:21" x14ac:dyDescent="0.3">
      <c r="B28" s="16"/>
      <c r="C28" s="10"/>
      <c r="D28" s="10"/>
      <c r="E28" s="10"/>
      <c r="F28" s="21" t="s">
        <v>52</v>
      </c>
      <c r="G28" s="21" t="s">
        <v>53</v>
      </c>
      <c r="H28" s="10"/>
      <c r="I28" s="10"/>
      <c r="J28" s="10"/>
      <c r="K28" s="10"/>
      <c r="L28" s="10"/>
      <c r="M28" s="10"/>
      <c r="N28" s="10"/>
      <c r="O28" s="10"/>
      <c r="P28" s="10"/>
      <c r="Q28" s="10"/>
      <c r="R28" s="10"/>
      <c r="S28" s="10"/>
      <c r="T28" s="10"/>
      <c r="U28" s="11"/>
    </row>
    <row r="29" spans="2:21" x14ac:dyDescent="0.3">
      <c r="B29" s="16"/>
      <c r="C29" s="10"/>
      <c r="E29" s="10" t="s">
        <v>66</v>
      </c>
      <c r="F29" s="18">
        <f>C9/F27*F26*F25*F24</f>
        <v>26575</v>
      </c>
      <c r="G29" s="18">
        <f>C9/F27*F26*F25*G24</f>
        <v>53150</v>
      </c>
      <c r="H29" s="10" t="s">
        <v>153</v>
      </c>
      <c r="I29" s="10"/>
      <c r="J29" s="10"/>
      <c r="K29" s="10"/>
      <c r="L29" s="10"/>
      <c r="M29" s="10"/>
      <c r="N29" s="10"/>
      <c r="O29" s="10"/>
      <c r="P29" s="10"/>
      <c r="Q29" s="10"/>
      <c r="R29" s="10"/>
      <c r="S29" s="10"/>
      <c r="T29" s="10"/>
      <c r="U29" s="11"/>
    </row>
    <row r="30" spans="2:21" x14ac:dyDescent="0.3">
      <c r="B30" s="16"/>
      <c r="C30" s="10"/>
      <c r="D30" s="10"/>
      <c r="E30" s="10"/>
      <c r="F30" s="18">
        <f>F29/C8</f>
        <v>23.727678571428573</v>
      </c>
      <c r="G30" s="18">
        <f>G29/C8</f>
        <v>47.455357142857146</v>
      </c>
      <c r="H30" s="10" t="s">
        <v>67</v>
      </c>
      <c r="I30" s="10"/>
      <c r="J30" s="10"/>
      <c r="K30" s="10"/>
      <c r="L30" s="10"/>
      <c r="M30" s="10"/>
      <c r="N30" s="10"/>
      <c r="O30" s="10"/>
      <c r="P30" s="10"/>
      <c r="Q30" s="10"/>
      <c r="R30" s="10"/>
      <c r="S30" s="10"/>
      <c r="T30" s="10"/>
      <c r="U30" s="11"/>
    </row>
    <row r="31" spans="2:21" x14ac:dyDescent="0.3">
      <c r="B31" s="16"/>
      <c r="C31" s="10"/>
      <c r="D31" s="10"/>
      <c r="E31" s="10"/>
      <c r="F31" s="18">
        <f>F29/C9</f>
        <v>0.5</v>
      </c>
      <c r="G31" s="18">
        <f>G29/C9</f>
        <v>1</v>
      </c>
      <c r="H31" s="10" t="s">
        <v>41</v>
      </c>
      <c r="I31" s="10"/>
      <c r="J31" s="10"/>
      <c r="K31" s="10"/>
      <c r="L31" s="10"/>
      <c r="M31" s="10"/>
      <c r="N31" s="10"/>
      <c r="O31" s="10"/>
      <c r="P31" s="10"/>
      <c r="Q31" s="10"/>
      <c r="R31" s="10"/>
      <c r="S31" s="10"/>
      <c r="T31" s="10"/>
      <c r="U31" s="11"/>
    </row>
    <row r="32" spans="2:21" x14ac:dyDescent="0.3">
      <c r="B32" s="16"/>
      <c r="C32" s="10"/>
      <c r="D32" s="10"/>
      <c r="E32" s="10"/>
      <c r="F32" s="18"/>
      <c r="G32" s="18"/>
      <c r="H32" s="10"/>
      <c r="I32" s="10"/>
      <c r="J32" s="10"/>
      <c r="K32" s="10"/>
      <c r="L32" s="10"/>
      <c r="M32" s="10"/>
      <c r="N32" s="10"/>
      <c r="O32" s="10"/>
      <c r="P32" s="10"/>
      <c r="Q32" s="10"/>
      <c r="R32" s="10"/>
      <c r="S32" s="10"/>
      <c r="T32" s="10"/>
      <c r="U32" s="11"/>
    </row>
    <row r="33" spans="2:21" x14ac:dyDescent="0.3">
      <c r="B33" s="16"/>
      <c r="C33" s="10" t="s">
        <v>151</v>
      </c>
      <c r="D33" s="10"/>
      <c r="E33" s="10"/>
      <c r="F33" s="10"/>
      <c r="G33" s="10"/>
      <c r="H33" s="10"/>
      <c r="I33" s="10"/>
      <c r="J33" s="10"/>
      <c r="K33" s="10"/>
      <c r="L33" s="10"/>
      <c r="M33" s="10"/>
      <c r="N33" s="10"/>
      <c r="O33" s="10"/>
      <c r="P33" s="10"/>
      <c r="Q33" s="10"/>
      <c r="R33" s="10"/>
      <c r="S33" s="10"/>
      <c r="T33" s="10"/>
      <c r="U33" s="11"/>
    </row>
    <row r="34" spans="2:21" x14ac:dyDescent="0.3">
      <c r="B34" s="16"/>
      <c r="C34" s="10"/>
      <c r="D34" s="10" t="s">
        <v>59</v>
      </c>
      <c r="E34" s="10"/>
      <c r="F34" s="10"/>
      <c r="G34" s="10"/>
      <c r="H34" s="10"/>
      <c r="I34" s="10"/>
      <c r="J34" s="10"/>
      <c r="K34" s="10"/>
      <c r="L34" s="10"/>
      <c r="M34" s="10"/>
      <c r="N34" s="10"/>
      <c r="O34" s="10"/>
      <c r="P34" s="10"/>
      <c r="Q34" s="10"/>
      <c r="R34" s="10"/>
      <c r="S34" s="10"/>
      <c r="T34" s="10"/>
      <c r="U34" s="11"/>
    </row>
    <row r="35" spans="2:21" x14ac:dyDescent="0.3">
      <c r="B35" s="16"/>
      <c r="C35" s="10"/>
      <c r="D35" s="10" t="s">
        <v>58</v>
      </c>
      <c r="E35" s="10"/>
      <c r="F35" s="10"/>
      <c r="G35" s="10"/>
      <c r="H35" s="10"/>
      <c r="I35" s="10"/>
      <c r="J35" s="10"/>
      <c r="K35" s="10"/>
      <c r="L35" s="10"/>
      <c r="M35" s="10"/>
      <c r="N35" s="10"/>
      <c r="O35" s="10"/>
      <c r="P35" s="10"/>
      <c r="Q35" s="10"/>
      <c r="R35" s="10"/>
      <c r="S35" s="10"/>
      <c r="T35" s="10"/>
      <c r="U35" s="11"/>
    </row>
    <row r="36" spans="2:21" x14ac:dyDescent="0.3">
      <c r="B36" s="16"/>
      <c r="C36" s="10"/>
      <c r="D36" s="10" t="s">
        <v>154</v>
      </c>
      <c r="E36" s="10"/>
      <c r="F36" s="10"/>
      <c r="G36" s="10"/>
      <c r="H36" s="10"/>
      <c r="I36" s="10"/>
      <c r="J36" s="10"/>
      <c r="K36" s="10"/>
      <c r="L36" s="10"/>
      <c r="M36" s="10"/>
      <c r="N36" s="10"/>
      <c r="O36" s="10"/>
      <c r="P36" s="10"/>
      <c r="Q36" s="10"/>
      <c r="R36" s="10"/>
      <c r="S36" s="10"/>
      <c r="T36" s="10"/>
      <c r="U36" s="11"/>
    </row>
    <row r="37" spans="2:21" x14ac:dyDescent="0.3">
      <c r="B37" s="16"/>
      <c r="C37" s="10"/>
      <c r="D37" s="21" t="s">
        <v>155</v>
      </c>
      <c r="E37" s="21" t="s">
        <v>156</v>
      </c>
      <c r="F37" s="10"/>
      <c r="G37" s="10"/>
      <c r="H37" s="10"/>
      <c r="I37" s="10"/>
      <c r="J37" s="10"/>
      <c r="K37" s="10"/>
      <c r="L37" s="10"/>
      <c r="M37" s="10"/>
      <c r="N37" s="10"/>
      <c r="O37" s="10"/>
      <c r="P37" s="10"/>
      <c r="Q37" s="10"/>
      <c r="R37" s="10"/>
      <c r="S37" s="10"/>
      <c r="T37" s="10"/>
      <c r="U37" s="11"/>
    </row>
    <row r="38" spans="2:21" x14ac:dyDescent="0.3">
      <c r="B38" s="16"/>
      <c r="C38" s="10"/>
      <c r="D38" s="17">
        <f>750*0.05*0.25*10*21*6</f>
        <v>11812.5</v>
      </c>
      <c r="E38" s="17">
        <f>750*0.1*0.5*10*21*6</f>
        <v>47250</v>
      </c>
      <c r="F38" s="10" t="s">
        <v>157</v>
      </c>
      <c r="G38" s="10"/>
      <c r="H38" s="10"/>
      <c r="I38" s="10"/>
      <c r="J38" s="10"/>
      <c r="K38" s="10"/>
      <c r="L38" s="10"/>
      <c r="M38" s="10"/>
      <c r="N38" s="10"/>
      <c r="O38" s="10"/>
      <c r="P38" s="10"/>
      <c r="Q38" s="10"/>
      <c r="R38" s="10"/>
      <c r="S38" s="10"/>
      <c r="T38" s="10"/>
      <c r="U38" s="11"/>
    </row>
    <row r="39" spans="2:21" x14ac:dyDescent="0.3">
      <c r="B39" s="16"/>
      <c r="C39" s="10"/>
      <c r="D39" s="17">
        <f>ROUND(D38/C8,0.1)</f>
        <v>11</v>
      </c>
      <c r="E39" s="17">
        <f>ROUND(E38/C8,0.1)</f>
        <v>42</v>
      </c>
      <c r="F39" s="10" t="s">
        <v>67</v>
      </c>
      <c r="G39" s="10"/>
      <c r="H39" s="10"/>
      <c r="I39" s="10"/>
      <c r="J39" s="10"/>
      <c r="K39" s="10"/>
      <c r="L39" s="10"/>
      <c r="M39" s="10"/>
      <c r="N39" s="10"/>
      <c r="O39" s="10"/>
      <c r="P39" s="10"/>
      <c r="Q39" s="10"/>
      <c r="R39" s="10"/>
      <c r="S39" s="10"/>
      <c r="T39" s="10"/>
      <c r="U39" s="11"/>
    </row>
    <row r="40" spans="2:21" ht="15" thickBot="1" x14ac:dyDescent="0.35">
      <c r="B40" s="19"/>
      <c r="C40" s="14"/>
      <c r="D40" s="20">
        <f>D38/C9</f>
        <v>0.22224835371589841</v>
      </c>
      <c r="E40" s="20">
        <f>E38/C9</f>
        <v>0.88899341486359362</v>
      </c>
      <c r="F40" s="14" t="s">
        <v>41</v>
      </c>
      <c r="G40" s="14"/>
      <c r="H40" s="14"/>
      <c r="I40" s="14"/>
      <c r="J40" s="14"/>
      <c r="K40" s="14"/>
      <c r="L40" s="14"/>
      <c r="M40" s="14"/>
      <c r="N40" s="14"/>
      <c r="O40" s="14"/>
      <c r="P40" s="14"/>
      <c r="Q40" s="14"/>
      <c r="R40" s="14"/>
      <c r="S40" s="14"/>
      <c r="T40" s="14"/>
      <c r="U40" s="15"/>
    </row>
    <row r="41" spans="2:21" ht="15" thickBot="1" x14ac:dyDescent="0.35"/>
    <row r="42" spans="2:21" x14ac:dyDescent="0.3">
      <c r="B42" s="6" t="s">
        <v>68</v>
      </c>
      <c r="C42" s="7"/>
      <c r="D42" s="7"/>
      <c r="E42" s="7"/>
      <c r="F42" s="7"/>
      <c r="G42" s="7"/>
      <c r="H42" s="7"/>
      <c r="I42" s="7"/>
      <c r="J42" s="7"/>
      <c r="K42" s="8"/>
    </row>
    <row r="43" spans="2:21" x14ac:dyDescent="0.3">
      <c r="B43" s="16" t="s">
        <v>69</v>
      </c>
      <c r="C43" s="10" t="s">
        <v>82</v>
      </c>
      <c r="D43" s="10"/>
      <c r="E43" s="10"/>
      <c r="F43" s="10"/>
      <c r="G43" s="10"/>
      <c r="H43" s="10"/>
      <c r="I43" s="10"/>
      <c r="J43" s="10"/>
      <c r="K43" s="11"/>
    </row>
    <row r="44" spans="2:21" x14ac:dyDescent="0.3">
      <c r="B44" s="16"/>
      <c r="C44" s="10" t="s">
        <v>70</v>
      </c>
      <c r="D44" s="10"/>
      <c r="E44" s="10"/>
      <c r="F44" s="10"/>
      <c r="G44" s="10"/>
      <c r="H44" s="10"/>
      <c r="I44" s="10"/>
      <c r="J44" s="10"/>
      <c r="K44" s="11"/>
    </row>
    <row r="45" spans="2:21" x14ac:dyDescent="0.3">
      <c r="B45" s="16"/>
      <c r="C45" s="10" t="s">
        <v>71</v>
      </c>
      <c r="D45" s="10"/>
      <c r="E45" s="10"/>
      <c r="F45" s="10"/>
      <c r="G45" s="10"/>
      <c r="H45" s="10"/>
      <c r="I45" s="10"/>
      <c r="J45" s="10"/>
      <c r="K45" s="11"/>
    </row>
    <row r="46" spans="2:21" x14ac:dyDescent="0.3">
      <c r="B46" s="16"/>
      <c r="C46" s="10"/>
      <c r="D46" s="10" t="s">
        <v>72</v>
      </c>
      <c r="E46" s="10"/>
      <c r="F46" s="10"/>
      <c r="G46" s="10">
        <f>C9/10</f>
        <v>5315</v>
      </c>
      <c r="H46" s="10" t="s">
        <v>74</v>
      </c>
      <c r="I46" s="10"/>
      <c r="J46" s="10"/>
      <c r="K46" s="11"/>
    </row>
    <row r="47" spans="2:21" x14ac:dyDescent="0.3">
      <c r="B47" s="16"/>
      <c r="C47" s="10"/>
      <c r="D47" s="10" t="s">
        <v>73</v>
      </c>
      <c r="E47" s="10"/>
      <c r="F47" s="10"/>
      <c r="G47" s="10">
        <f>G46*0.75</f>
        <v>3986.25</v>
      </c>
      <c r="H47" s="10" t="s">
        <v>75</v>
      </c>
      <c r="I47" s="10">
        <f>G46*1.5</f>
        <v>7972.5</v>
      </c>
      <c r="J47" s="10" t="s">
        <v>75</v>
      </c>
      <c r="K47" s="11"/>
    </row>
    <row r="48" spans="2:21" x14ac:dyDescent="0.3">
      <c r="B48" s="16"/>
      <c r="C48" s="10"/>
      <c r="D48" s="10" t="s">
        <v>76</v>
      </c>
      <c r="E48" s="10"/>
      <c r="F48" s="10"/>
      <c r="G48" s="10">
        <f>G47/10</f>
        <v>398.625</v>
      </c>
      <c r="H48" s="10" t="s">
        <v>77</v>
      </c>
      <c r="I48" s="10">
        <f>I47/10</f>
        <v>797.25</v>
      </c>
      <c r="J48" s="10" t="s">
        <v>77</v>
      </c>
      <c r="K48" s="11"/>
    </row>
    <row r="49" spans="2:16" x14ac:dyDescent="0.3">
      <c r="B49" s="16"/>
      <c r="C49" s="10"/>
      <c r="D49" s="10"/>
      <c r="E49" s="21" t="s">
        <v>52</v>
      </c>
      <c r="F49" s="21" t="s">
        <v>53</v>
      </c>
      <c r="G49" s="191" t="s">
        <v>40</v>
      </c>
      <c r="H49" s="191"/>
      <c r="I49" s="191" t="s">
        <v>41</v>
      </c>
      <c r="J49" s="191"/>
      <c r="K49" s="11"/>
    </row>
    <row r="50" spans="2:16" x14ac:dyDescent="0.3">
      <c r="B50" s="16"/>
      <c r="C50" s="10"/>
      <c r="D50" s="10" t="s">
        <v>78</v>
      </c>
      <c r="E50" s="17">
        <f>G48*4</f>
        <v>1594.5</v>
      </c>
      <c r="F50" s="17">
        <f>4*I48</f>
        <v>3189</v>
      </c>
      <c r="G50" s="18">
        <f>E50/$C$8</f>
        <v>1.4236607142857143</v>
      </c>
      <c r="H50" s="18">
        <f>F50/$C$8</f>
        <v>2.8473214285714286</v>
      </c>
      <c r="I50" s="18">
        <f>E50/$C$9</f>
        <v>0.03</v>
      </c>
      <c r="J50" s="18">
        <f>F50/$C$9</f>
        <v>0.06</v>
      </c>
      <c r="K50" s="11"/>
    </row>
    <row r="51" spans="2:16" x14ac:dyDescent="0.3">
      <c r="B51" s="16"/>
      <c r="C51" s="10"/>
      <c r="D51" s="10" t="s">
        <v>79</v>
      </c>
      <c r="E51" s="17">
        <f>1*G47</f>
        <v>3986.25</v>
      </c>
      <c r="F51" s="17">
        <f>I47*1</f>
        <v>7972.5</v>
      </c>
      <c r="G51" s="18">
        <f>E51/$C$8</f>
        <v>3.5591517857142856</v>
      </c>
      <c r="H51" s="18">
        <f>F51/$C$8</f>
        <v>7.1183035714285712</v>
      </c>
      <c r="I51" s="18">
        <f>E51/$C$9</f>
        <v>7.4999999999999997E-2</v>
      </c>
      <c r="J51" s="18">
        <f>F51/$C$9</f>
        <v>0.15</v>
      </c>
      <c r="K51" s="11"/>
    </row>
    <row r="52" spans="2:16" ht="15" thickBot="1" x14ac:dyDescent="0.35">
      <c r="B52" s="16"/>
      <c r="C52" s="10"/>
      <c r="D52" s="28" t="s">
        <v>80</v>
      </c>
      <c r="E52" s="29">
        <f>SUM(E50:E51)</f>
        <v>5580.75</v>
      </c>
      <c r="F52" s="29">
        <f t="shared" ref="F52:J52" si="0">SUM(F50:F51)</f>
        <v>11161.5</v>
      </c>
      <c r="G52" s="29">
        <f t="shared" si="0"/>
        <v>4.9828124999999996</v>
      </c>
      <c r="H52" s="29">
        <f t="shared" si="0"/>
        <v>9.9656249999999993</v>
      </c>
      <c r="I52" s="29">
        <f t="shared" si="0"/>
        <v>0.105</v>
      </c>
      <c r="J52" s="29">
        <f t="shared" si="0"/>
        <v>0.21</v>
      </c>
      <c r="K52" s="11"/>
    </row>
    <row r="53" spans="2:16" ht="15" thickTop="1" x14ac:dyDescent="0.3">
      <c r="B53" s="16"/>
      <c r="C53" s="10"/>
      <c r="D53" s="10"/>
      <c r="E53" s="10"/>
      <c r="F53" s="10"/>
      <c r="G53" s="10"/>
      <c r="H53" s="10"/>
      <c r="I53" s="10"/>
      <c r="J53" s="10"/>
      <c r="K53" s="11"/>
    </row>
    <row r="54" spans="2:16" x14ac:dyDescent="0.3">
      <c r="B54" s="16" t="s">
        <v>81</v>
      </c>
      <c r="C54" s="10" t="s">
        <v>83</v>
      </c>
      <c r="D54" s="10"/>
      <c r="E54" s="10"/>
      <c r="F54" s="10"/>
      <c r="G54" s="10"/>
      <c r="H54" s="10"/>
      <c r="I54" s="10"/>
      <c r="J54" s="10"/>
      <c r="K54" s="11"/>
    </row>
    <row r="55" spans="2:16" x14ac:dyDescent="0.3">
      <c r="B55" s="16"/>
      <c r="C55" s="10">
        <v>3.5</v>
      </c>
      <c r="D55" s="10" t="s">
        <v>84</v>
      </c>
      <c r="E55" s="10"/>
      <c r="F55" s="10"/>
      <c r="G55" s="10"/>
      <c r="H55" s="10"/>
      <c r="I55" s="10"/>
      <c r="J55" s="10"/>
      <c r="K55" s="11"/>
    </row>
    <row r="56" spans="2:16" x14ac:dyDescent="0.3">
      <c r="B56" s="16"/>
      <c r="C56" s="27">
        <v>65000</v>
      </c>
      <c r="D56" s="10" t="s">
        <v>85</v>
      </c>
      <c r="E56" s="10"/>
      <c r="F56" s="10"/>
      <c r="G56" s="10"/>
      <c r="H56" s="10"/>
      <c r="I56" s="10"/>
      <c r="J56" s="10"/>
      <c r="K56" s="11"/>
    </row>
    <row r="57" spans="2:16" x14ac:dyDescent="0.3">
      <c r="B57" s="16"/>
      <c r="C57" s="10"/>
      <c r="D57" s="10" t="s">
        <v>86</v>
      </c>
      <c r="E57" s="10"/>
      <c r="F57" s="10"/>
      <c r="G57" s="10"/>
      <c r="H57" s="10"/>
      <c r="I57" s="10"/>
      <c r="J57" s="10"/>
      <c r="K57" s="11"/>
    </row>
    <row r="58" spans="2:16" x14ac:dyDescent="0.3">
      <c r="B58" s="16"/>
      <c r="C58" s="17">
        <f>55000/1715*3.5</f>
        <v>112.24489795918367</v>
      </c>
      <c r="D58" s="10" t="s">
        <v>87</v>
      </c>
      <c r="E58" s="10"/>
      <c r="F58" s="10"/>
      <c r="G58" s="10"/>
      <c r="H58" s="10"/>
      <c r="I58" s="10"/>
      <c r="J58" s="10"/>
      <c r="K58" s="11"/>
    </row>
    <row r="59" spans="2:16" x14ac:dyDescent="0.3">
      <c r="B59" s="16"/>
      <c r="C59" s="18">
        <f>C58*6</f>
        <v>673.46938775510205</v>
      </c>
      <c r="D59" s="10" t="s">
        <v>88</v>
      </c>
      <c r="E59" s="10"/>
      <c r="F59" s="10"/>
      <c r="G59" s="10"/>
      <c r="H59" s="10"/>
      <c r="I59" s="10"/>
      <c r="J59" s="10"/>
      <c r="K59" s="11"/>
    </row>
    <row r="60" spans="2:16" x14ac:dyDescent="0.3">
      <c r="B60" s="16"/>
      <c r="C60" s="18">
        <f>C59/C8</f>
        <v>0.60131195335276966</v>
      </c>
      <c r="D60" s="10" t="s">
        <v>67</v>
      </c>
      <c r="E60" s="10"/>
      <c r="F60" s="10"/>
      <c r="G60" s="10"/>
      <c r="H60" s="10"/>
      <c r="I60" s="10"/>
      <c r="J60" s="10"/>
      <c r="K60" s="11"/>
    </row>
    <row r="61" spans="2:16" ht="15" thickBot="1" x14ac:dyDescent="0.35">
      <c r="B61" s="19"/>
      <c r="C61" s="20">
        <f>C59/C9</f>
        <v>1.2671107954000038E-2</v>
      </c>
      <c r="D61" s="14" t="s">
        <v>89</v>
      </c>
      <c r="E61" s="14"/>
      <c r="F61" s="14"/>
      <c r="G61" s="14"/>
      <c r="H61" s="14"/>
      <c r="I61" s="14"/>
      <c r="J61" s="14"/>
      <c r="K61" s="15"/>
    </row>
    <row r="62" spans="2:16" ht="15" thickBot="1" x14ac:dyDescent="0.35"/>
    <row r="63" spans="2:16" x14ac:dyDescent="0.3">
      <c r="B63" s="6" t="s">
        <v>90</v>
      </c>
      <c r="C63" s="7"/>
      <c r="D63" s="7"/>
      <c r="E63" s="7"/>
      <c r="F63" s="7"/>
      <c r="G63" s="7"/>
      <c r="H63" s="7"/>
      <c r="I63" s="7"/>
      <c r="J63" s="7"/>
      <c r="K63" s="7"/>
      <c r="L63" s="7"/>
      <c r="M63" s="7"/>
      <c r="N63" s="7"/>
      <c r="O63" s="7"/>
      <c r="P63" s="8"/>
    </row>
    <row r="64" spans="2:16" x14ac:dyDescent="0.3">
      <c r="B64" s="16"/>
      <c r="C64" s="10" t="s">
        <v>91</v>
      </c>
      <c r="D64" s="10"/>
      <c r="E64" s="10"/>
      <c r="F64" s="10"/>
      <c r="G64" s="10"/>
      <c r="H64" s="10"/>
      <c r="I64" s="10"/>
      <c r="J64" s="10"/>
      <c r="K64" s="10"/>
      <c r="L64" s="10"/>
      <c r="M64" s="10"/>
      <c r="N64" s="10"/>
      <c r="O64" s="10"/>
      <c r="P64" s="11"/>
    </row>
    <row r="65" spans="1:16" x14ac:dyDescent="0.3">
      <c r="B65" s="16"/>
      <c r="C65" s="10" t="s">
        <v>92</v>
      </c>
      <c r="D65" s="10"/>
      <c r="E65" s="10"/>
      <c r="F65" s="10"/>
      <c r="G65" s="10"/>
      <c r="H65" s="10"/>
      <c r="I65" s="10"/>
      <c r="J65" s="10"/>
      <c r="K65" s="10"/>
      <c r="L65" s="10"/>
      <c r="M65" s="10"/>
      <c r="N65" s="10"/>
      <c r="O65" s="10"/>
      <c r="P65" s="11"/>
    </row>
    <row r="66" spans="1:16" x14ac:dyDescent="0.3">
      <c r="B66" s="16"/>
      <c r="C66" s="10"/>
      <c r="D66" s="10" t="s">
        <v>93</v>
      </c>
      <c r="E66" s="10"/>
      <c r="F66" s="10"/>
      <c r="G66" s="10"/>
      <c r="H66" s="10"/>
      <c r="I66" s="10"/>
      <c r="J66" s="10"/>
      <c r="K66" s="10"/>
      <c r="L66" s="10"/>
      <c r="M66" s="10"/>
      <c r="N66" s="10"/>
      <c r="O66" s="10"/>
      <c r="P66" s="11"/>
    </row>
    <row r="67" spans="1:16" x14ac:dyDescent="0.3">
      <c r="B67" s="16"/>
      <c r="C67" s="10"/>
      <c r="D67" s="10" t="s">
        <v>94</v>
      </c>
      <c r="E67" s="10"/>
      <c r="F67" s="10"/>
      <c r="G67" s="10"/>
      <c r="H67" s="10"/>
      <c r="I67" s="10"/>
      <c r="J67" s="10"/>
      <c r="K67" s="10"/>
      <c r="L67" s="10"/>
      <c r="M67" s="10"/>
      <c r="N67" s="10"/>
      <c r="O67" s="10"/>
      <c r="P67" s="11"/>
    </row>
    <row r="68" spans="1:16" x14ac:dyDescent="0.3">
      <c r="B68" s="16"/>
      <c r="C68" s="10"/>
      <c r="D68" s="10" t="s">
        <v>141</v>
      </c>
      <c r="E68" s="10"/>
      <c r="F68" s="10"/>
      <c r="G68" s="10"/>
      <c r="H68" s="10"/>
      <c r="I68" s="10"/>
      <c r="J68" s="10"/>
      <c r="K68" s="10"/>
      <c r="L68" s="10"/>
      <c r="M68" s="10"/>
      <c r="N68" s="10"/>
      <c r="O68" s="10"/>
      <c r="P68" s="11"/>
    </row>
    <row r="69" spans="1:16" x14ac:dyDescent="0.3">
      <c r="B69" s="16"/>
      <c r="C69" s="10" t="s">
        <v>116</v>
      </c>
      <c r="D69" s="10"/>
      <c r="E69" s="10"/>
      <c r="F69" s="10"/>
      <c r="G69" s="10"/>
      <c r="H69" s="10"/>
      <c r="I69" s="10"/>
      <c r="J69" s="10"/>
      <c r="K69" s="10"/>
      <c r="L69" s="10"/>
      <c r="M69" s="10"/>
      <c r="N69" s="10"/>
      <c r="O69" s="10"/>
      <c r="P69" s="11"/>
    </row>
    <row r="70" spans="1:16" x14ac:dyDescent="0.3">
      <c r="B70" s="16"/>
      <c r="C70" s="10"/>
      <c r="D70" s="10" t="s">
        <v>95</v>
      </c>
      <c r="E70" s="10"/>
      <c r="F70" s="10"/>
      <c r="G70" s="10"/>
      <c r="H70" s="10"/>
      <c r="I70" s="10"/>
      <c r="J70" s="10"/>
      <c r="K70" s="10"/>
      <c r="L70" s="10"/>
      <c r="M70" s="10"/>
      <c r="N70" s="10"/>
      <c r="O70" s="10"/>
      <c r="P70" s="11"/>
    </row>
    <row r="71" spans="1:16" x14ac:dyDescent="0.3">
      <c r="B71" s="16"/>
      <c r="C71" s="10"/>
      <c r="D71" s="17">
        <f>C9/10*100*1</f>
        <v>531500</v>
      </c>
      <c r="E71" s="10" t="s">
        <v>142</v>
      </c>
      <c r="F71" s="10"/>
      <c r="G71" s="10"/>
      <c r="H71" s="10"/>
      <c r="I71" s="10"/>
      <c r="J71" s="10"/>
      <c r="K71" s="10"/>
      <c r="L71" s="10"/>
      <c r="M71" s="10"/>
      <c r="N71" s="10"/>
      <c r="O71" s="10"/>
      <c r="P71" s="11"/>
    </row>
    <row r="72" spans="1:16" x14ac:dyDescent="0.3">
      <c r="B72" s="16"/>
      <c r="C72" s="10"/>
      <c r="D72" s="18">
        <f>D71/C8</f>
        <v>474.55357142857144</v>
      </c>
      <c r="E72" s="10" t="s">
        <v>96</v>
      </c>
      <c r="F72" s="10"/>
      <c r="G72" s="10"/>
      <c r="H72" s="10"/>
      <c r="I72" s="10"/>
      <c r="J72" s="10"/>
      <c r="K72" s="10"/>
      <c r="L72" s="10"/>
      <c r="M72" s="10"/>
      <c r="N72" s="10"/>
      <c r="O72" s="10"/>
      <c r="P72" s="11"/>
    </row>
    <row r="73" spans="1:16" ht="15" thickBot="1" x14ac:dyDescent="0.35">
      <c r="B73" s="19"/>
      <c r="C73" s="14"/>
      <c r="D73" s="20">
        <f>D71/C9</f>
        <v>10</v>
      </c>
      <c r="E73" s="14" t="s">
        <v>89</v>
      </c>
      <c r="F73" s="14"/>
      <c r="G73" s="14"/>
      <c r="H73" s="14"/>
      <c r="I73" s="14"/>
      <c r="J73" s="14"/>
      <c r="K73" s="14"/>
      <c r="L73" s="14"/>
      <c r="M73" s="14"/>
      <c r="N73" s="14"/>
      <c r="O73" s="14"/>
      <c r="P73" s="15"/>
    </row>
    <row r="75" spans="1:16" ht="15" thickBot="1" x14ac:dyDescent="0.35">
      <c r="A75" s="22" t="s">
        <v>216</v>
      </c>
    </row>
    <row r="76" spans="1:16" x14ac:dyDescent="0.3">
      <c r="B76" t="s">
        <v>159</v>
      </c>
    </row>
    <row r="77" spans="1:16" x14ac:dyDescent="0.3">
      <c r="B77" t="s">
        <v>16</v>
      </c>
    </row>
    <row r="78" spans="1:16" x14ac:dyDescent="0.3">
      <c r="C78" s="79" t="s">
        <v>158</v>
      </c>
      <c r="D78" s="79"/>
      <c r="E78" s="79"/>
    </row>
    <row r="79" spans="1:16" x14ac:dyDescent="0.3">
      <c r="C79" s="79" t="s">
        <v>160</v>
      </c>
      <c r="D79" s="79"/>
      <c r="E79" s="79"/>
    </row>
    <row r="80" spans="1:16" x14ac:dyDescent="0.3">
      <c r="C80" s="80">
        <v>25000</v>
      </c>
      <c r="D80" s="79" t="s">
        <v>25</v>
      </c>
      <c r="E80" s="79"/>
    </row>
    <row r="82" spans="3:10" x14ac:dyDescent="0.3">
      <c r="C82" t="s">
        <v>161</v>
      </c>
    </row>
    <row r="83" spans="3:10" x14ac:dyDescent="0.3">
      <c r="C83">
        <v>172</v>
      </c>
      <c r="D83" t="s">
        <v>162</v>
      </c>
    </row>
    <row r="84" spans="3:10" x14ac:dyDescent="0.3">
      <c r="C84" s="59">
        <v>60000</v>
      </c>
      <c r="D84" t="s">
        <v>164</v>
      </c>
    </row>
    <row r="85" spans="3:10" x14ac:dyDescent="0.3">
      <c r="C85" s="59">
        <f>C83*C84</f>
        <v>10320000</v>
      </c>
      <c r="D85" t="s">
        <v>163</v>
      </c>
    </row>
    <row r="86" spans="3:10" x14ac:dyDescent="0.3">
      <c r="C86">
        <v>4</v>
      </c>
      <c r="D86" t="s">
        <v>171</v>
      </c>
    </row>
    <row r="87" spans="3:10" x14ac:dyDescent="0.3">
      <c r="C87">
        <v>2.9</v>
      </c>
      <c r="D87" t="s">
        <v>165</v>
      </c>
    </row>
    <row r="88" spans="3:10" x14ac:dyDescent="0.3">
      <c r="C88" s="59">
        <v>48310</v>
      </c>
      <c r="D88" t="s">
        <v>166</v>
      </c>
    </row>
    <row r="89" spans="3:10" x14ac:dyDescent="0.3">
      <c r="C89" s="59">
        <f>C88*C86</f>
        <v>193240</v>
      </c>
      <c r="D89" t="s">
        <v>167</v>
      </c>
    </row>
    <row r="90" spans="3:10" ht="15" thickBot="1" x14ac:dyDescent="0.35">
      <c r="C90" s="29">
        <f>C89/25000</f>
        <v>7.7295999999999996</v>
      </c>
      <c r="D90" t="s">
        <v>206</v>
      </c>
    </row>
    <row r="91" spans="3:10" ht="15.6" thickTop="1" thickBot="1" x14ac:dyDescent="0.35">
      <c r="C91" s="29">
        <f>C90/4</f>
        <v>1.9323999999999999</v>
      </c>
      <c r="D91" t="s">
        <v>207</v>
      </c>
    </row>
    <row r="92" spans="3:10" ht="15" thickTop="1" x14ac:dyDescent="0.3"/>
    <row r="93" spans="3:10" x14ac:dyDescent="0.3">
      <c r="C93" s="79" t="s">
        <v>205</v>
      </c>
      <c r="D93" s="79"/>
      <c r="E93" s="79"/>
      <c r="F93" s="79"/>
      <c r="G93" s="79"/>
      <c r="H93" s="79"/>
      <c r="I93" s="79"/>
      <c r="J93" s="79"/>
    </row>
    <row r="94" spans="3:10" x14ac:dyDescent="0.3">
      <c r="C94" s="59">
        <v>10000</v>
      </c>
      <c r="D94" t="s">
        <v>170</v>
      </c>
    </row>
    <row r="95" spans="3:10" x14ac:dyDescent="0.3">
      <c r="C95" s="59">
        <v>4000</v>
      </c>
      <c r="D95" t="s">
        <v>172</v>
      </c>
    </row>
    <row r="96" spans="3:10" x14ac:dyDescent="0.3">
      <c r="C96" s="59">
        <v>2000</v>
      </c>
      <c r="D96" t="s">
        <v>200</v>
      </c>
    </row>
    <row r="97" spans="3:4" ht="15" thickBot="1" x14ac:dyDescent="0.35">
      <c r="C97" s="29">
        <f>SUM(C94:C96)/25000</f>
        <v>0.64</v>
      </c>
      <c r="D97" t="s">
        <v>204</v>
      </c>
    </row>
    <row r="98" spans="3:4" ht="15" thickTop="1" x14ac:dyDescent="0.3"/>
    <row r="100" spans="3:4" x14ac:dyDescent="0.3">
      <c r="C100" s="59">
        <v>4</v>
      </c>
      <c r="D100" s="55" t="s">
        <v>202</v>
      </c>
    </row>
    <row r="128" spans="3:3" x14ac:dyDescent="0.3">
      <c r="C128" t="s">
        <v>209</v>
      </c>
    </row>
    <row r="130" spans="1:5" x14ac:dyDescent="0.3">
      <c r="C130" t="s">
        <v>211</v>
      </c>
    </row>
    <row r="131" spans="1:5" x14ac:dyDescent="0.3">
      <c r="C131" s="60">
        <f>77650/25000</f>
        <v>3.1059999999999999</v>
      </c>
      <c r="D131" t="s">
        <v>213</v>
      </c>
    </row>
    <row r="132" spans="1:5" x14ac:dyDescent="0.3">
      <c r="C132" s="60">
        <f>(102655-77650)/25000</f>
        <v>1.0002</v>
      </c>
      <c r="D132" t="s">
        <v>210</v>
      </c>
    </row>
    <row r="133" spans="1:5" x14ac:dyDescent="0.3">
      <c r="C133" s="60">
        <f>C131+C132</f>
        <v>4.1061999999999994</v>
      </c>
      <c r="D133" t="s">
        <v>212</v>
      </c>
    </row>
    <row r="135" spans="1:5" ht="15" thickBot="1" x14ac:dyDescent="0.35">
      <c r="A135" s="22" t="s">
        <v>217</v>
      </c>
    </row>
    <row r="136" spans="1:5" x14ac:dyDescent="0.3">
      <c r="B136" t="s">
        <v>218</v>
      </c>
    </row>
    <row r="137" spans="1:5" x14ac:dyDescent="0.3">
      <c r="B137" t="s">
        <v>16</v>
      </c>
    </row>
    <row r="138" spans="1:5" x14ac:dyDescent="0.3">
      <c r="C138" s="80">
        <v>50000</v>
      </c>
      <c r="D138" s="79" t="s">
        <v>25</v>
      </c>
      <c r="E138" s="79"/>
    </row>
    <row r="140" spans="1:5" x14ac:dyDescent="0.3">
      <c r="C140" t="s">
        <v>161</v>
      </c>
    </row>
    <row r="141" spans="1:5" x14ac:dyDescent="0.3">
      <c r="C141">
        <v>174</v>
      </c>
      <c r="D141" t="s">
        <v>219</v>
      </c>
    </row>
    <row r="142" spans="1:5" x14ac:dyDescent="0.3">
      <c r="C142" s="59">
        <v>68000</v>
      </c>
      <c r="D142" t="s">
        <v>220</v>
      </c>
    </row>
    <row r="143" spans="1:5" x14ac:dyDescent="0.3">
      <c r="C143" s="59">
        <f>C141*C142</f>
        <v>11832000</v>
      </c>
      <c r="D143" t="s">
        <v>163</v>
      </c>
    </row>
    <row r="144" spans="1:5" x14ac:dyDescent="0.3">
      <c r="C144">
        <v>6</v>
      </c>
      <c r="D144" t="s">
        <v>171</v>
      </c>
    </row>
    <row r="145" spans="1:11" x14ac:dyDescent="0.3">
      <c r="C145">
        <v>2.9</v>
      </c>
      <c r="D145" t="s">
        <v>165</v>
      </c>
    </row>
    <row r="146" spans="1:11" x14ac:dyDescent="0.3">
      <c r="C146" s="59">
        <v>48310</v>
      </c>
      <c r="D146" t="s">
        <v>166</v>
      </c>
    </row>
    <row r="147" spans="1:11" x14ac:dyDescent="0.3">
      <c r="C147" s="59">
        <f>C146*C144</f>
        <v>289860</v>
      </c>
      <c r="D147" t="s">
        <v>167</v>
      </c>
    </row>
    <row r="148" spans="1:11" ht="15" thickBot="1" x14ac:dyDescent="0.35">
      <c r="C148" s="29">
        <f>C147/50000</f>
        <v>5.7972000000000001</v>
      </c>
      <c r="D148" t="s">
        <v>221</v>
      </c>
    </row>
    <row r="149" spans="1:11" ht="15.6" thickTop="1" thickBot="1" x14ac:dyDescent="0.35">
      <c r="C149" s="29">
        <f>C148/6</f>
        <v>0.96620000000000006</v>
      </c>
      <c r="D149" t="s">
        <v>222</v>
      </c>
    </row>
    <row r="150" spans="1:11" ht="15" thickTop="1" x14ac:dyDescent="0.3"/>
    <row r="151" spans="1:11" x14ac:dyDescent="0.3">
      <c r="C151" s="79" t="s">
        <v>205</v>
      </c>
      <c r="D151" s="79"/>
      <c r="E151" s="79"/>
      <c r="F151" s="79"/>
      <c r="G151" s="79"/>
      <c r="H151" s="79"/>
      <c r="I151" s="79"/>
      <c r="J151" s="79"/>
    </row>
    <row r="152" spans="1:11" x14ac:dyDescent="0.3">
      <c r="C152" s="59">
        <v>15000</v>
      </c>
      <c r="D152" t="s">
        <v>170</v>
      </c>
    </row>
    <row r="153" spans="1:11" x14ac:dyDescent="0.3">
      <c r="C153" s="59">
        <v>6000</v>
      </c>
      <c r="D153" t="s">
        <v>172</v>
      </c>
    </row>
    <row r="154" spans="1:11" x14ac:dyDescent="0.3">
      <c r="C154" s="59">
        <v>2000</v>
      </c>
      <c r="D154" t="s">
        <v>200</v>
      </c>
    </row>
    <row r="155" spans="1:11" ht="15" thickBot="1" x14ac:dyDescent="0.35">
      <c r="C155" s="29">
        <f>SUM(C152:C154)/50000</f>
        <v>0.46</v>
      </c>
      <c r="D155" t="s">
        <v>204</v>
      </c>
    </row>
    <row r="156" spans="1:11" ht="15" thickTop="1" x14ac:dyDescent="0.3"/>
    <row r="158" spans="1:11" x14ac:dyDescent="0.3">
      <c r="C158" s="59">
        <v>4</v>
      </c>
      <c r="D158" s="55" t="s">
        <v>202</v>
      </c>
    </row>
    <row r="159" spans="1:11" x14ac:dyDescent="0.3">
      <c r="A159" s="57"/>
      <c r="B159" s="57"/>
      <c r="C159" s="57"/>
      <c r="D159" s="57"/>
      <c r="E159" s="57"/>
      <c r="F159" s="57"/>
      <c r="G159" s="57"/>
      <c r="H159" s="57"/>
      <c r="I159" s="57"/>
      <c r="J159" s="57"/>
      <c r="K159" s="57"/>
    </row>
    <row r="160" spans="1:11" x14ac:dyDescent="0.3">
      <c r="A160" s="57"/>
      <c r="B160" s="57"/>
      <c r="C160" s="57"/>
      <c r="D160" s="57"/>
      <c r="E160" s="57"/>
      <c r="F160" s="57"/>
      <c r="G160" s="57"/>
      <c r="H160" s="57"/>
      <c r="I160" s="57"/>
      <c r="J160" s="57"/>
      <c r="K160" s="57"/>
    </row>
    <row r="161" spans="1:11" x14ac:dyDescent="0.3">
      <c r="A161" s="57"/>
      <c r="B161" s="57"/>
      <c r="C161" s="57"/>
      <c r="D161" s="57"/>
      <c r="E161" s="57"/>
      <c r="F161" s="57"/>
      <c r="G161" s="57"/>
      <c r="H161" s="57"/>
      <c r="I161" s="57"/>
      <c r="J161" s="57"/>
      <c r="K161" s="57"/>
    </row>
    <row r="162" spans="1:11" x14ac:dyDescent="0.3">
      <c r="A162" s="57"/>
      <c r="B162" s="57"/>
      <c r="C162" s="57"/>
      <c r="D162" s="57"/>
      <c r="E162" s="57"/>
      <c r="F162" s="57"/>
      <c r="G162" s="57"/>
      <c r="H162" s="57"/>
      <c r="I162" s="57"/>
      <c r="J162" s="57"/>
      <c r="K162" s="57"/>
    </row>
    <row r="163" spans="1:11" x14ac:dyDescent="0.3">
      <c r="A163" s="57"/>
      <c r="B163" s="57"/>
      <c r="C163" s="57"/>
      <c r="D163" s="57"/>
      <c r="E163" s="57"/>
      <c r="F163" s="57"/>
      <c r="G163" s="57"/>
      <c r="H163" s="57"/>
      <c r="I163" s="57"/>
      <c r="J163" s="57"/>
      <c r="K163" s="57"/>
    </row>
    <row r="164" spans="1:11" x14ac:dyDescent="0.3">
      <c r="A164" s="57"/>
      <c r="B164" s="57"/>
      <c r="C164" s="57"/>
      <c r="D164" s="57"/>
      <c r="E164" s="57"/>
      <c r="F164" s="57"/>
      <c r="G164" s="57"/>
      <c r="H164" s="57"/>
      <c r="I164" s="57"/>
      <c r="J164" s="57"/>
      <c r="K164" s="57"/>
    </row>
    <row r="165" spans="1:11" x14ac:dyDescent="0.3">
      <c r="A165" s="57"/>
      <c r="B165" s="57"/>
      <c r="C165" s="57"/>
      <c r="D165" s="57"/>
      <c r="E165" s="57"/>
      <c r="F165" s="57"/>
      <c r="G165" s="57"/>
      <c r="H165" s="57"/>
      <c r="I165" s="57"/>
      <c r="J165" s="57"/>
      <c r="K165" s="57"/>
    </row>
    <row r="166" spans="1:11" x14ac:dyDescent="0.3">
      <c r="A166" s="57"/>
      <c r="B166" s="57"/>
      <c r="C166" s="57"/>
      <c r="D166" s="57"/>
      <c r="E166" s="57"/>
      <c r="F166" s="57"/>
      <c r="G166" s="57"/>
      <c r="H166" s="57"/>
      <c r="I166" s="57"/>
      <c r="J166" s="57"/>
      <c r="K166" s="57"/>
    </row>
    <row r="167" spans="1:11" x14ac:dyDescent="0.3">
      <c r="A167" s="57"/>
      <c r="B167" s="57"/>
      <c r="C167" s="57"/>
      <c r="D167" s="57"/>
      <c r="E167" s="57"/>
      <c r="F167" s="57"/>
      <c r="G167" s="57"/>
      <c r="H167" s="57"/>
      <c r="I167" s="57"/>
      <c r="J167" s="57"/>
      <c r="K167" s="57"/>
    </row>
    <row r="168" spans="1:11" x14ac:dyDescent="0.3">
      <c r="A168" s="57"/>
      <c r="B168" s="57"/>
      <c r="C168" s="57"/>
      <c r="D168" s="57"/>
      <c r="E168" s="57"/>
      <c r="F168" s="57"/>
      <c r="G168" s="57"/>
      <c r="H168" s="57"/>
      <c r="I168" s="57"/>
      <c r="J168" s="57"/>
      <c r="K168" s="57"/>
    </row>
    <row r="169" spans="1:11" x14ac:dyDescent="0.3">
      <c r="A169" s="57"/>
      <c r="B169" s="57"/>
      <c r="C169" s="57"/>
      <c r="D169" s="57"/>
      <c r="E169" s="57"/>
      <c r="F169" s="57"/>
      <c r="G169" s="57"/>
      <c r="H169" s="57"/>
      <c r="I169" s="57"/>
      <c r="J169" s="57"/>
      <c r="K169" s="57"/>
    </row>
    <row r="170" spans="1:11" x14ac:dyDescent="0.3">
      <c r="A170" s="57"/>
      <c r="B170" s="57"/>
      <c r="C170" s="57"/>
      <c r="D170" s="57"/>
      <c r="E170" s="57"/>
      <c r="F170" s="57"/>
      <c r="G170" s="57"/>
      <c r="H170" s="57"/>
      <c r="I170" s="57"/>
      <c r="J170" s="57"/>
      <c r="K170" s="57"/>
    </row>
    <row r="171" spans="1:11" x14ac:dyDescent="0.3">
      <c r="A171" s="57"/>
      <c r="B171" s="57"/>
      <c r="C171" s="57"/>
      <c r="D171" s="57"/>
      <c r="E171" s="57"/>
      <c r="F171" s="57"/>
      <c r="G171" s="57"/>
      <c r="H171" s="57"/>
      <c r="I171" s="57"/>
      <c r="J171" s="57"/>
      <c r="K171" s="57"/>
    </row>
    <row r="172" spans="1:11" x14ac:dyDescent="0.3">
      <c r="A172" s="57"/>
      <c r="B172" s="57"/>
      <c r="C172" s="57"/>
      <c r="D172" s="57"/>
      <c r="E172" s="57"/>
      <c r="F172" s="57"/>
      <c r="G172" s="57"/>
      <c r="H172" s="57"/>
      <c r="I172" s="57"/>
      <c r="J172" s="57"/>
      <c r="K172" s="57"/>
    </row>
    <row r="173" spans="1:11" x14ac:dyDescent="0.3">
      <c r="A173" s="57"/>
      <c r="B173" s="57"/>
      <c r="C173" s="57"/>
      <c r="D173" s="57"/>
      <c r="E173" s="57"/>
      <c r="F173" s="57"/>
      <c r="G173" s="57"/>
      <c r="H173" s="57"/>
      <c r="I173" s="57"/>
      <c r="J173" s="57"/>
      <c r="K173" s="57"/>
    </row>
    <row r="174" spans="1:11" x14ac:dyDescent="0.3">
      <c r="A174" s="57"/>
      <c r="B174" s="57"/>
      <c r="C174" s="57"/>
      <c r="D174" s="57"/>
      <c r="E174" s="57"/>
      <c r="F174" s="57"/>
      <c r="G174" s="57"/>
      <c r="H174" s="57"/>
      <c r="I174" s="57"/>
      <c r="J174" s="57"/>
      <c r="K174" s="57"/>
    </row>
    <row r="175" spans="1:11" x14ac:dyDescent="0.3">
      <c r="A175" s="57"/>
      <c r="B175" s="57"/>
      <c r="C175" s="57"/>
      <c r="D175" s="57"/>
      <c r="E175" s="57"/>
      <c r="F175" s="57"/>
      <c r="G175" s="57"/>
      <c r="H175" s="57"/>
      <c r="I175" s="57"/>
      <c r="J175" s="57"/>
      <c r="K175" s="57"/>
    </row>
    <row r="176" spans="1:11" x14ac:dyDescent="0.3">
      <c r="A176" s="57"/>
      <c r="B176" s="57"/>
      <c r="C176" s="57"/>
      <c r="D176" s="57"/>
      <c r="E176" s="57"/>
      <c r="F176" s="57"/>
      <c r="G176" s="57"/>
      <c r="H176" s="57"/>
      <c r="I176" s="57"/>
      <c r="J176" s="57"/>
      <c r="K176" s="57"/>
    </row>
    <row r="177" spans="1:11" x14ac:dyDescent="0.3">
      <c r="A177" s="57"/>
      <c r="B177" s="57"/>
      <c r="C177" s="57"/>
      <c r="D177" s="57"/>
      <c r="E177" s="57"/>
      <c r="F177" s="57"/>
      <c r="G177" s="57"/>
      <c r="H177" s="57"/>
      <c r="I177" s="57"/>
      <c r="J177" s="57"/>
      <c r="K177" s="57"/>
    </row>
    <row r="178" spans="1:11" x14ac:dyDescent="0.3">
      <c r="A178" s="57"/>
      <c r="B178" s="57"/>
      <c r="C178" s="57"/>
      <c r="D178" s="57"/>
      <c r="E178" s="57"/>
      <c r="F178" s="57"/>
      <c r="G178" s="57"/>
      <c r="H178" s="57"/>
      <c r="I178" s="57"/>
      <c r="J178" s="57"/>
      <c r="K178" s="57"/>
    </row>
    <row r="179" spans="1:11" x14ac:dyDescent="0.3">
      <c r="A179" s="57"/>
      <c r="B179" s="57"/>
      <c r="C179" s="57"/>
      <c r="D179" s="57"/>
      <c r="E179" s="57"/>
      <c r="F179" s="57"/>
      <c r="G179" s="57"/>
      <c r="H179" s="57"/>
      <c r="I179" s="57"/>
      <c r="J179" s="57"/>
      <c r="K179" s="57"/>
    </row>
    <row r="180" spans="1:11" x14ac:dyDescent="0.3">
      <c r="A180" s="57"/>
      <c r="B180" s="57"/>
      <c r="C180" s="57"/>
      <c r="D180" s="57"/>
      <c r="E180" s="57"/>
      <c r="F180" s="57"/>
      <c r="G180" s="57"/>
      <c r="H180" s="57"/>
      <c r="I180" s="57"/>
      <c r="J180" s="57"/>
      <c r="K180" s="57"/>
    </row>
    <row r="181" spans="1:11" x14ac:dyDescent="0.3">
      <c r="A181" s="57"/>
      <c r="B181" s="57"/>
      <c r="C181" s="57"/>
      <c r="D181" s="57"/>
      <c r="E181" s="57"/>
      <c r="F181" s="57"/>
      <c r="G181" s="57"/>
      <c r="H181" s="57"/>
      <c r="I181" s="57"/>
      <c r="J181" s="57"/>
      <c r="K181" s="57"/>
    </row>
    <row r="182" spans="1:11" x14ac:dyDescent="0.3">
      <c r="A182" s="57"/>
      <c r="B182" s="57"/>
      <c r="C182" s="57"/>
      <c r="D182" s="57"/>
      <c r="E182" s="57"/>
      <c r="F182" s="57"/>
      <c r="G182" s="57"/>
      <c r="H182" s="57"/>
      <c r="I182" s="57"/>
      <c r="J182" s="57"/>
      <c r="K182" s="57"/>
    </row>
    <row r="183" spans="1:11" x14ac:dyDescent="0.3">
      <c r="A183" s="57"/>
      <c r="B183" s="57"/>
      <c r="C183" s="57"/>
      <c r="D183" s="57"/>
      <c r="E183" s="57"/>
      <c r="F183" s="57"/>
      <c r="G183" s="57"/>
      <c r="H183" s="57"/>
      <c r="I183" s="57"/>
      <c r="J183" s="57"/>
      <c r="K183" s="57"/>
    </row>
    <row r="184" spans="1:11" x14ac:dyDescent="0.3">
      <c r="A184" s="57"/>
      <c r="B184" s="57"/>
      <c r="C184" s="57"/>
      <c r="D184" s="57"/>
      <c r="E184" s="57"/>
      <c r="F184" s="57"/>
      <c r="G184" s="57"/>
      <c r="H184" s="57"/>
      <c r="I184" s="57"/>
      <c r="J184" s="57"/>
      <c r="K184" s="57"/>
    </row>
    <row r="185" spans="1:11" x14ac:dyDescent="0.3">
      <c r="A185" s="57"/>
      <c r="B185" s="57"/>
      <c r="C185" s="57"/>
      <c r="D185" s="57"/>
      <c r="E185" s="57"/>
      <c r="F185" s="57"/>
      <c r="G185" s="57"/>
      <c r="H185" s="57"/>
      <c r="I185" s="57"/>
      <c r="J185" s="57"/>
      <c r="K185" s="57"/>
    </row>
    <row r="186" spans="1:11" x14ac:dyDescent="0.3">
      <c r="A186" s="57"/>
      <c r="B186" s="57"/>
      <c r="C186" s="57" t="s">
        <v>227</v>
      </c>
      <c r="D186" s="57"/>
      <c r="E186" s="57"/>
      <c r="F186" s="57"/>
      <c r="G186" s="57"/>
      <c r="H186" s="57"/>
      <c r="I186" s="57"/>
      <c r="J186" s="57"/>
      <c r="K186" s="57"/>
    </row>
    <row r="187" spans="1:11" x14ac:dyDescent="0.3">
      <c r="A187" s="57"/>
      <c r="B187" s="57"/>
      <c r="C187" s="57"/>
      <c r="D187" s="57"/>
      <c r="E187" s="57"/>
      <c r="F187" s="57"/>
      <c r="G187" s="57"/>
      <c r="H187" s="57"/>
      <c r="I187" s="57"/>
      <c r="J187" s="57"/>
      <c r="K187" s="57"/>
    </row>
    <row r="188" spans="1:11" x14ac:dyDescent="0.3">
      <c r="A188" s="57"/>
      <c r="B188" s="57"/>
      <c r="C188" s="57" t="s">
        <v>211</v>
      </c>
      <c r="D188" s="57"/>
      <c r="E188" s="57"/>
      <c r="F188" s="57"/>
      <c r="G188" s="57"/>
      <c r="H188" s="57"/>
      <c r="I188" s="57"/>
      <c r="J188" s="57"/>
      <c r="K188" s="57"/>
    </row>
    <row r="189" spans="1:11" x14ac:dyDescent="0.3">
      <c r="A189" s="57"/>
      <c r="B189" s="57"/>
      <c r="C189" s="88">
        <f>129985/50000</f>
        <v>2.5996999999999999</v>
      </c>
      <c r="D189" s="57" t="s">
        <v>213</v>
      </c>
      <c r="E189" s="57"/>
      <c r="F189" s="57"/>
      <c r="G189" s="57"/>
      <c r="H189" s="57"/>
      <c r="I189" s="57"/>
      <c r="J189" s="57"/>
      <c r="K189" s="57"/>
    </row>
    <row r="190" spans="1:11" x14ac:dyDescent="0.3">
      <c r="A190" s="57"/>
      <c r="B190" s="57"/>
      <c r="C190" s="88">
        <f>(154990-129985)/50000</f>
        <v>0.50009999999999999</v>
      </c>
      <c r="D190" s="57" t="s">
        <v>210</v>
      </c>
      <c r="E190" s="57"/>
      <c r="F190" s="57"/>
      <c r="G190" s="57"/>
      <c r="H190" s="57"/>
      <c r="I190" s="57"/>
      <c r="J190" s="57"/>
      <c r="K190" s="57"/>
    </row>
    <row r="191" spans="1:11" x14ac:dyDescent="0.3">
      <c r="A191" s="57"/>
      <c r="B191" s="57"/>
      <c r="C191" s="88">
        <f>C189+C190</f>
        <v>3.0998000000000001</v>
      </c>
      <c r="D191" s="57" t="s">
        <v>212</v>
      </c>
      <c r="E191" s="57"/>
      <c r="F191" s="57"/>
      <c r="G191" s="57"/>
      <c r="H191" s="57"/>
      <c r="I191" s="57"/>
      <c r="J191" s="57"/>
      <c r="K191" s="57"/>
    </row>
  </sheetData>
  <mergeCells count="2">
    <mergeCell ref="G49:H49"/>
    <mergeCell ref="I49:J4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424CC-7821-45DC-8C98-6ECF3608725E}">
  <dimension ref="A2:N46"/>
  <sheetViews>
    <sheetView workbookViewId="0">
      <selection activeCell="L22" sqref="L22:L23"/>
    </sheetView>
  </sheetViews>
  <sheetFormatPr defaultRowHeight="14.4" x14ac:dyDescent="0.3"/>
  <cols>
    <col min="3" max="3" width="10.5546875" bestFit="1" customWidth="1"/>
    <col min="4" max="4" width="11.5546875" bestFit="1" customWidth="1"/>
  </cols>
  <sheetData>
    <row r="2" spans="1:11" ht="15" thickBot="1" x14ac:dyDescent="0.35">
      <c r="A2" s="22" t="s">
        <v>14</v>
      </c>
    </row>
    <row r="3" spans="1:11" x14ac:dyDescent="0.3">
      <c r="B3" t="s">
        <v>15</v>
      </c>
    </row>
    <row r="4" spans="1:11" x14ac:dyDescent="0.3">
      <c r="B4" t="s">
        <v>16</v>
      </c>
    </row>
    <row r="5" spans="1:11" x14ac:dyDescent="0.3">
      <c r="C5" t="s">
        <v>17</v>
      </c>
    </row>
    <row r="6" spans="1:11" x14ac:dyDescent="0.3">
      <c r="C6" t="s">
        <v>19</v>
      </c>
    </row>
    <row r="7" spans="1:11" x14ac:dyDescent="0.3">
      <c r="C7" t="s">
        <v>18</v>
      </c>
    </row>
    <row r="8" spans="1:11" x14ac:dyDescent="0.3">
      <c r="C8" s="55">
        <f>Preconstruction!C8</f>
        <v>1120</v>
      </c>
      <c r="D8" t="s">
        <v>24</v>
      </c>
    </row>
    <row r="9" spans="1:11" x14ac:dyDescent="0.3">
      <c r="C9" s="55">
        <f>Preconstruction!C9</f>
        <v>53150</v>
      </c>
      <c r="D9" t="s">
        <v>25</v>
      </c>
    </row>
    <row r="11" spans="1:11" ht="15" thickBot="1" x14ac:dyDescent="0.35"/>
    <row r="12" spans="1:11" x14ac:dyDescent="0.3">
      <c r="B12" s="6" t="s">
        <v>10</v>
      </c>
      <c r="C12" s="7"/>
      <c r="D12" s="7"/>
      <c r="E12" s="7"/>
      <c r="F12" s="7"/>
      <c r="G12" s="7"/>
      <c r="H12" s="7"/>
      <c r="I12" s="7"/>
      <c r="J12" s="7"/>
      <c r="K12" s="8"/>
    </row>
    <row r="13" spans="1:11" x14ac:dyDescent="0.3">
      <c r="B13" s="16"/>
      <c r="C13" s="10" t="s">
        <v>99</v>
      </c>
      <c r="D13" s="10"/>
      <c r="E13" s="10"/>
      <c r="F13" s="10"/>
      <c r="G13" s="10"/>
      <c r="H13" s="10"/>
      <c r="I13" s="10"/>
      <c r="J13" s="10"/>
      <c r="K13" s="11"/>
    </row>
    <row r="14" spans="1:11" x14ac:dyDescent="0.3">
      <c r="B14" s="16"/>
      <c r="C14" s="10"/>
      <c r="D14" s="10" t="s">
        <v>100</v>
      </c>
      <c r="E14" s="10"/>
      <c r="F14" s="10"/>
      <c r="G14" s="10"/>
      <c r="H14" s="10"/>
      <c r="I14" s="10"/>
      <c r="J14" s="10"/>
      <c r="K14" s="11"/>
    </row>
    <row r="15" spans="1:11" x14ac:dyDescent="0.3">
      <c r="B15" s="16"/>
      <c r="C15" s="10"/>
      <c r="D15" s="10" t="s">
        <v>101</v>
      </c>
      <c r="E15" s="10"/>
      <c r="F15" s="10"/>
      <c r="G15" s="10"/>
      <c r="H15" s="10"/>
      <c r="I15" s="10"/>
      <c r="J15" s="10"/>
      <c r="K15" s="11"/>
    </row>
    <row r="16" spans="1:11" x14ac:dyDescent="0.3">
      <c r="B16" s="16"/>
      <c r="C16" s="10"/>
      <c r="D16" s="17">
        <f>C9/10*0.25</f>
        <v>1328.75</v>
      </c>
      <c r="E16" s="10" t="s">
        <v>143</v>
      </c>
      <c r="F16" s="10"/>
      <c r="G16" s="10"/>
      <c r="H16" s="10"/>
      <c r="I16" s="10"/>
      <c r="J16" s="10"/>
      <c r="K16" s="11"/>
    </row>
    <row r="17" spans="2:11" x14ac:dyDescent="0.3">
      <c r="B17" s="16"/>
      <c r="C17" s="10"/>
      <c r="D17" s="17">
        <f>D16/C8</f>
        <v>1.1863839285714286</v>
      </c>
      <c r="E17" s="10" t="s">
        <v>67</v>
      </c>
      <c r="F17" s="10"/>
      <c r="G17" s="10"/>
      <c r="H17" s="10"/>
      <c r="I17" s="10"/>
      <c r="J17" s="10"/>
      <c r="K17" s="11"/>
    </row>
    <row r="18" spans="2:11" x14ac:dyDescent="0.3">
      <c r="B18" s="16"/>
      <c r="C18" s="10"/>
      <c r="D18" s="18">
        <f>D16/C9</f>
        <v>2.5000000000000001E-2</v>
      </c>
      <c r="E18" s="10" t="s">
        <v>89</v>
      </c>
      <c r="F18" s="10"/>
      <c r="G18" s="10"/>
      <c r="H18" s="10"/>
      <c r="I18" s="10"/>
      <c r="J18" s="10"/>
      <c r="K18" s="11"/>
    </row>
    <row r="19" spans="2:11" x14ac:dyDescent="0.3">
      <c r="B19" s="16"/>
      <c r="C19" s="10"/>
      <c r="D19" s="10"/>
      <c r="E19" s="10"/>
      <c r="F19" s="10"/>
      <c r="G19" s="10"/>
      <c r="H19" s="10"/>
      <c r="I19" s="10"/>
      <c r="J19" s="10"/>
      <c r="K19" s="11"/>
    </row>
    <row r="20" spans="2:11" x14ac:dyDescent="0.3">
      <c r="B20" s="16"/>
      <c r="C20" s="10" t="s">
        <v>10</v>
      </c>
      <c r="D20" s="10"/>
      <c r="E20" s="10"/>
      <c r="F20" s="10"/>
      <c r="G20" s="10"/>
      <c r="H20" s="10"/>
      <c r="I20" s="10"/>
      <c r="J20" s="10"/>
      <c r="K20" s="11"/>
    </row>
    <row r="21" spans="2:11" x14ac:dyDescent="0.3">
      <c r="B21" s="16"/>
      <c r="C21" s="10"/>
      <c r="D21" s="10" t="s">
        <v>102</v>
      </c>
      <c r="E21" s="10"/>
      <c r="F21" s="10"/>
      <c r="G21" s="10"/>
      <c r="H21" s="10"/>
      <c r="I21" s="10"/>
      <c r="J21" s="10"/>
      <c r="K21" s="11"/>
    </row>
    <row r="22" spans="2:11" x14ac:dyDescent="0.3">
      <c r="B22" s="16"/>
      <c r="C22" s="10"/>
      <c r="D22" s="17">
        <v>65000</v>
      </c>
      <c r="E22" s="10" t="s">
        <v>103</v>
      </c>
      <c r="F22" s="10"/>
      <c r="G22" s="10"/>
      <c r="H22" s="10"/>
      <c r="I22" s="10"/>
      <c r="J22" s="10"/>
      <c r="K22" s="11"/>
    </row>
    <row r="23" spans="2:11" x14ac:dyDescent="0.3">
      <c r="B23" s="16"/>
      <c r="C23" s="10"/>
      <c r="D23" s="10"/>
      <c r="E23" s="10" t="s">
        <v>104</v>
      </c>
      <c r="F23" s="10"/>
      <c r="G23" s="10"/>
      <c r="H23" s="10"/>
      <c r="I23" s="10"/>
      <c r="J23" s="10"/>
      <c r="K23" s="11"/>
    </row>
    <row r="24" spans="2:11" x14ac:dyDescent="0.3">
      <c r="B24" s="16"/>
      <c r="C24" s="10"/>
      <c r="D24" s="17">
        <f>D22*0.15/10+5000/10</f>
        <v>1475</v>
      </c>
      <c r="E24" s="10" t="s">
        <v>144</v>
      </c>
      <c r="F24" s="10"/>
      <c r="G24" s="10"/>
      <c r="H24" s="10"/>
      <c r="I24" s="10"/>
      <c r="J24" s="10"/>
      <c r="K24" s="11"/>
    </row>
    <row r="25" spans="2:11" x14ac:dyDescent="0.3">
      <c r="B25" s="16"/>
      <c r="C25" s="10"/>
      <c r="D25" s="18">
        <f>D24/C8</f>
        <v>1.3169642857142858</v>
      </c>
      <c r="E25" s="10" t="s">
        <v>67</v>
      </c>
      <c r="F25" s="10"/>
      <c r="G25" s="10"/>
      <c r="H25" s="10"/>
      <c r="I25" s="10"/>
      <c r="J25" s="10"/>
      <c r="K25" s="11"/>
    </row>
    <row r="26" spans="2:11" ht="15" thickBot="1" x14ac:dyDescent="0.35">
      <c r="B26" s="19"/>
      <c r="C26" s="14"/>
      <c r="D26" s="20">
        <f>D24/C9</f>
        <v>2.7751646284101598E-2</v>
      </c>
      <c r="E26" s="14" t="s">
        <v>89</v>
      </c>
      <c r="F26" s="14"/>
      <c r="G26" s="14"/>
      <c r="H26" s="14"/>
      <c r="I26" s="14"/>
      <c r="J26" s="14"/>
      <c r="K26" s="15"/>
    </row>
    <row r="27" spans="2:11" ht="15" thickBot="1" x14ac:dyDescent="0.35"/>
    <row r="28" spans="2:11" x14ac:dyDescent="0.3">
      <c r="B28" s="6" t="s">
        <v>11</v>
      </c>
      <c r="C28" s="7"/>
      <c r="D28" s="7"/>
      <c r="E28" s="7"/>
      <c r="F28" s="7"/>
      <c r="G28" s="7"/>
      <c r="H28" s="7"/>
      <c r="I28" s="8"/>
    </row>
    <row r="29" spans="2:11" x14ac:dyDescent="0.3">
      <c r="B29" s="16"/>
      <c r="C29" s="17">
        <v>750</v>
      </c>
      <c r="D29" s="10" t="s">
        <v>105</v>
      </c>
      <c r="E29" s="10"/>
      <c r="F29" s="10"/>
      <c r="G29" s="10"/>
      <c r="H29" s="10"/>
      <c r="I29" s="11"/>
    </row>
    <row r="30" spans="2:11" x14ac:dyDescent="0.3">
      <c r="B30" s="16"/>
      <c r="C30" s="10"/>
      <c r="D30" s="10" t="s">
        <v>145</v>
      </c>
      <c r="E30" s="10"/>
      <c r="F30" s="10"/>
      <c r="G30" s="10"/>
      <c r="H30" s="10"/>
      <c r="I30" s="11"/>
    </row>
    <row r="31" spans="2:11" x14ac:dyDescent="0.3">
      <c r="B31" s="16"/>
      <c r="C31" s="10" t="s">
        <v>52</v>
      </c>
      <c r="D31" s="10" t="s">
        <v>53</v>
      </c>
      <c r="E31" s="10"/>
      <c r="F31" s="10"/>
      <c r="G31" s="10"/>
      <c r="H31" s="10"/>
      <c r="I31" s="11"/>
    </row>
    <row r="32" spans="2:11" x14ac:dyDescent="0.3">
      <c r="B32" s="16"/>
      <c r="C32" s="18">
        <f>C29/C8/2</f>
        <v>0.33482142857142855</v>
      </c>
      <c r="D32" s="18">
        <f>C29/C8</f>
        <v>0.6696428571428571</v>
      </c>
      <c r="E32" s="10" t="s">
        <v>67</v>
      </c>
      <c r="F32" s="10"/>
      <c r="G32" s="10"/>
      <c r="H32" s="10"/>
      <c r="I32" s="11"/>
    </row>
    <row r="33" spans="2:14" ht="15" thickBot="1" x14ac:dyDescent="0.35">
      <c r="B33" s="19"/>
      <c r="C33" s="20">
        <f>C29/50000</f>
        <v>1.4999999999999999E-2</v>
      </c>
      <c r="D33" s="20">
        <f>C29/600</f>
        <v>1.25</v>
      </c>
      <c r="E33" s="14" t="s">
        <v>89</v>
      </c>
      <c r="F33" s="14"/>
      <c r="G33" s="14"/>
      <c r="H33" s="14"/>
      <c r="I33" s="15"/>
    </row>
    <row r="35" spans="2:14" ht="15" thickBot="1" x14ac:dyDescent="0.35"/>
    <row r="36" spans="2:14" x14ac:dyDescent="0.3">
      <c r="B36" s="6" t="s">
        <v>106</v>
      </c>
      <c r="C36" s="7"/>
      <c r="D36" s="7"/>
      <c r="E36" s="7"/>
      <c r="F36" s="7"/>
      <c r="G36" s="7"/>
      <c r="H36" s="7"/>
      <c r="I36" s="7"/>
      <c r="J36" s="8"/>
    </row>
    <row r="37" spans="2:14" x14ac:dyDescent="0.3">
      <c r="B37" s="16"/>
      <c r="C37" s="10" t="s">
        <v>107</v>
      </c>
      <c r="D37" s="10"/>
      <c r="E37" s="10"/>
      <c r="F37" s="10"/>
      <c r="G37" s="10"/>
      <c r="H37" s="10"/>
      <c r="I37" s="10"/>
      <c r="J37" s="11"/>
    </row>
    <row r="38" spans="2:14" x14ac:dyDescent="0.3">
      <c r="B38" s="16"/>
      <c r="C38" s="10" t="s">
        <v>108</v>
      </c>
      <c r="D38" s="10"/>
      <c r="E38" s="10"/>
      <c r="F38" s="10"/>
      <c r="G38" s="10"/>
      <c r="H38" s="10"/>
      <c r="I38" s="10"/>
      <c r="J38" s="11"/>
    </row>
    <row r="39" spans="2:14" x14ac:dyDescent="0.3">
      <c r="B39" s="16"/>
      <c r="C39" s="17">
        <v>5500</v>
      </c>
      <c r="D39" s="10" t="s">
        <v>146</v>
      </c>
      <c r="E39" s="10"/>
      <c r="F39" s="10"/>
      <c r="G39" s="10"/>
      <c r="H39" s="10"/>
      <c r="I39" s="10"/>
      <c r="J39" s="11"/>
    </row>
    <row r="40" spans="2:14" x14ac:dyDescent="0.3">
      <c r="B40" s="16"/>
      <c r="C40" s="18">
        <f>C39*2.5/C8</f>
        <v>12.276785714285714</v>
      </c>
      <c r="D40" s="10" t="s">
        <v>96</v>
      </c>
      <c r="E40" s="10"/>
      <c r="F40" s="10"/>
      <c r="G40" s="10"/>
      <c r="H40" s="10"/>
      <c r="I40" s="10"/>
      <c r="J40" s="11"/>
    </row>
    <row r="41" spans="2:14" ht="15" thickBot="1" x14ac:dyDescent="0.35">
      <c r="B41" s="19"/>
      <c r="C41" s="20">
        <f>C39*2.5/C9</f>
        <v>0.25870178739416744</v>
      </c>
      <c r="D41" s="14" t="s">
        <v>89</v>
      </c>
      <c r="E41" s="14"/>
      <c r="F41" s="14"/>
      <c r="G41" s="14"/>
      <c r="H41" s="14"/>
      <c r="I41" s="14"/>
      <c r="J41" s="15"/>
    </row>
    <row r="43" spans="2:14" ht="15" thickBot="1" x14ac:dyDescent="0.35"/>
    <row r="44" spans="2:14" x14ac:dyDescent="0.3">
      <c r="B44" s="6" t="s">
        <v>110</v>
      </c>
      <c r="C44" s="7"/>
      <c r="D44" s="7"/>
      <c r="E44" s="7"/>
      <c r="F44" s="7"/>
      <c r="G44" s="7"/>
      <c r="H44" s="7"/>
      <c r="I44" s="7"/>
      <c r="J44" s="7"/>
      <c r="K44" s="7"/>
      <c r="L44" s="7"/>
      <c r="M44" s="7"/>
      <c r="N44" s="8"/>
    </row>
    <row r="45" spans="2:14" x14ac:dyDescent="0.3">
      <c r="B45" s="16"/>
      <c r="C45" s="10" t="s">
        <v>112</v>
      </c>
      <c r="D45" s="10"/>
      <c r="E45" s="10"/>
      <c r="F45" s="10"/>
      <c r="G45" s="10"/>
      <c r="H45" s="10"/>
      <c r="I45" s="10"/>
      <c r="J45" s="10"/>
      <c r="K45" s="10"/>
      <c r="L45" s="10"/>
      <c r="M45" s="10"/>
      <c r="N45" s="11"/>
    </row>
    <row r="46" spans="2:14" ht="15" thickBot="1" x14ac:dyDescent="0.35">
      <c r="B46" s="19"/>
      <c r="C46" s="14" t="s">
        <v>111</v>
      </c>
      <c r="D46" s="14"/>
      <c r="E46" s="14"/>
      <c r="F46" s="14"/>
      <c r="G46" s="14"/>
      <c r="H46" s="14"/>
      <c r="I46" s="14"/>
      <c r="J46" s="14"/>
      <c r="K46" s="14"/>
      <c r="L46" s="14"/>
      <c r="M46" s="14"/>
      <c r="N46"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BDF3-7D81-44FC-A471-17F9355130E2}">
  <sheetPr>
    <pageSetUpPr fitToPage="1"/>
  </sheetPr>
  <dimension ref="B1:R78"/>
  <sheetViews>
    <sheetView zoomScale="85" zoomScaleNormal="85" workbookViewId="0">
      <selection activeCell="M45" sqref="M45"/>
    </sheetView>
  </sheetViews>
  <sheetFormatPr defaultRowHeight="14.4" x14ac:dyDescent="0.3"/>
  <cols>
    <col min="6" max="6" width="9.5546875" customWidth="1"/>
    <col min="7" max="7" width="20.88671875" bestFit="1" customWidth="1"/>
    <col min="8" max="8" width="22.5546875" bestFit="1" customWidth="1"/>
    <col min="10" max="10" width="15.5546875" bestFit="1" customWidth="1"/>
    <col min="11" max="11" width="11" customWidth="1"/>
    <col min="13" max="13" width="9.33203125" bestFit="1" customWidth="1"/>
    <col min="15" max="15" width="20.44140625" bestFit="1" customWidth="1"/>
    <col min="16" max="16" width="22.88671875" bestFit="1" customWidth="1"/>
    <col min="17" max="18" width="20.44140625" bestFit="1" customWidth="1"/>
  </cols>
  <sheetData>
    <row r="1" spans="2:18" ht="23.4" x14ac:dyDescent="0.45">
      <c r="K1" s="1" t="s">
        <v>13</v>
      </c>
    </row>
    <row r="2" spans="2:18" ht="12.75" customHeight="1" x14ac:dyDescent="0.45">
      <c r="K2" s="1"/>
    </row>
    <row r="3" spans="2:18" ht="17.399999999999999" x14ac:dyDescent="0.4">
      <c r="K3" s="51" t="s">
        <v>115</v>
      </c>
    </row>
    <row r="4" spans="2:18" x14ac:dyDescent="0.3">
      <c r="K4" s="177" t="s">
        <v>114</v>
      </c>
    </row>
    <row r="5" spans="2:18" ht="17.399999999999999" x14ac:dyDescent="0.4">
      <c r="K5" s="51" t="s">
        <v>120</v>
      </c>
    </row>
    <row r="6" spans="2:18" x14ac:dyDescent="0.3">
      <c r="G6" s="2"/>
      <c r="K6" s="2"/>
    </row>
    <row r="7" spans="2:18" ht="15" thickBot="1" x14ac:dyDescent="0.35"/>
    <row r="8" spans="2:18" ht="20.399999999999999" thickBot="1" x14ac:dyDescent="0.45">
      <c r="B8" s="114" t="s">
        <v>233</v>
      </c>
      <c r="C8" s="115"/>
      <c r="D8" s="116"/>
      <c r="E8" s="116"/>
      <c r="F8" s="116"/>
      <c r="G8" s="116"/>
      <c r="H8" s="117"/>
      <c r="I8" s="3"/>
      <c r="J8" s="32" t="s">
        <v>3</v>
      </c>
      <c r="K8" s="32"/>
      <c r="L8" s="33"/>
      <c r="M8" s="33"/>
      <c r="N8" s="33"/>
      <c r="O8" s="33"/>
      <c r="P8" s="33"/>
      <c r="Q8" s="33"/>
      <c r="R8" s="33"/>
    </row>
    <row r="9" spans="2:18" ht="15" thickTop="1" x14ac:dyDescent="0.3">
      <c r="B9" s="118" t="s">
        <v>234</v>
      </c>
      <c r="C9" s="93"/>
      <c r="D9" s="10"/>
      <c r="E9" s="10"/>
      <c r="F9" s="10"/>
      <c r="G9" s="10"/>
      <c r="H9" s="11"/>
      <c r="I9" s="3"/>
      <c r="J9" s="34" t="s">
        <v>4</v>
      </c>
      <c r="K9" s="3"/>
    </row>
    <row r="10" spans="2:18" ht="15" thickBot="1" x14ac:dyDescent="0.35">
      <c r="B10" s="118" t="s">
        <v>235</v>
      </c>
      <c r="C10" s="93"/>
      <c r="D10" s="10"/>
      <c r="E10" s="10"/>
      <c r="F10" s="10"/>
      <c r="G10" s="10"/>
      <c r="H10" s="11"/>
      <c r="I10" s="3"/>
      <c r="J10" s="34" t="s">
        <v>131</v>
      </c>
      <c r="K10" s="3"/>
    </row>
    <row r="11" spans="2:18" ht="15" hidden="1" thickBot="1" x14ac:dyDescent="0.35">
      <c r="B11" s="106"/>
      <c r="C11" s="93"/>
      <c r="D11" s="10"/>
      <c r="E11" s="10"/>
      <c r="F11" s="10"/>
      <c r="G11" s="10"/>
      <c r="H11" s="11"/>
      <c r="I11" s="3"/>
      <c r="J11" s="3"/>
      <c r="K11" s="3"/>
    </row>
    <row r="12" spans="2:18" ht="18" thickBot="1" x14ac:dyDescent="0.4">
      <c r="B12" s="102"/>
      <c r="C12" s="103"/>
      <c r="D12" s="7"/>
      <c r="E12" s="7"/>
      <c r="F12" s="7"/>
      <c r="G12" s="192" t="s">
        <v>232</v>
      </c>
      <c r="H12" s="193"/>
      <c r="I12" s="3"/>
      <c r="J12" s="3"/>
      <c r="K12" s="3"/>
      <c r="O12" s="190" t="s">
        <v>231</v>
      </c>
      <c r="P12" s="190"/>
      <c r="Q12" s="188" t="s">
        <v>232</v>
      </c>
      <c r="R12" s="189"/>
    </row>
    <row r="13" spans="2:18" ht="18.600000000000001" thickTop="1" thickBot="1" x14ac:dyDescent="0.4">
      <c r="B13" s="104"/>
      <c r="C13" s="96"/>
      <c r="D13" s="97"/>
      <c r="E13" s="97"/>
      <c r="F13" s="97"/>
      <c r="G13" s="124" t="s">
        <v>52</v>
      </c>
      <c r="H13" s="105" t="s">
        <v>53</v>
      </c>
      <c r="I13" s="3"/>
      <c r="J13" s="35"/>
      <c r="K13" s="35"/>
      <c r="L13" s="36"/>
      <c r="M13" s="36"/>
      <c r="N13" s="36"/>
      <c r="O13" s="92" t="s">
        <v>52</v>
      </c>
      <c r="P13" s="92" t="s">
        <v>53</v>
      </c>
      <c r="Q13" s="90" t="s">
        <v>52</v>
      </c>
      <c r="R13" s="91" t="s">
        <v>53</v>
      </c>
    </row>
    <row r="14" spans="2:18" ht="15" hidden="1" thickTop="1" x14ac:dyDescent="0.3">
      <c r="B14" s="106"/>
      <c r="C14" s="93" t="s">
        <v>97</v>
      </c>
      <c r="D14" s="10"/>
      <c r="E14" s="10"/>
      <c r="F14" s="10"/>
      <c r="G14" s="125">
        <f>Construction!C133</f>
        <v>4.1061999999999994</v>
      </c>
      <c r="H14" s="107">
        <f>Construction!C133</f>
        <v>4.1061999999999994</v>
      </c>
      <c r="I14" s="3"/>
      <c r="J14" s="3"/>
      <c r="K14" s="3" t="s">
        <v>98</v>
      </c>
      <c r="O14" s="31">
        <f>Preconstruction!C18</f>
        <v>48</v>
      </c>
      <c r="P14" s="31">
        <f>Preconstruction!D18</f>
        <v>80</v>
      </c>
      <c r="Q14" s="40">
        <f>Preconstruction!C19</f>
        <v>1</v>
      </c>
      <c r="R14" s="41">
        <f>Preconstruction!D19</f>
        <v>1.7</v>
      </c>
    </row>
    <row r="15" spans="2:18" ht="15" hidden="1" thickTop="1" x14ac:dyDescent="0.3">
      <c r="B15" s="106"/>
      <c r="C15" s="93" t="s">
        <v>6</v>
      </c>
      <c r="D15" s="10"/>
      <c r="E15" s="10"/>
      <c r="F15" s="10"/>
      <c r="G15" s="126">
        <f>Construction!C97+Preconstruction!D29</f>
        <v>0.66351834430856071</v>
      </c>
      <c r="H15" s="108">
        <f>Construction!C97*2+Preconstruction!E29</f>
        <v>1.378777046095955</v>
      </c>
      <c r="I15" s="3"/>
      <c r="J15" s="3"/>
      <c r="K15" s="3" t="s">
        <v>6</v>
      </c>
      <c r="O15" s="5">
        <f>Preconstruction!D28</f>
        <v>1.1160714285714286</v>
      </c>
      <c r="P15" s="5">
        <f>Preconstruction!E28</f>
        <v>4.6875</v>
      </c>
      <c r="Q15" s="42">
        <f>Preconstruction!D29</f>
        <v>2.3518344308560677E-2</v>
      </c>
      <c r="R15" s="18">
        <f>Preconstruction!E29</f>
        <v>9.8777046095954849E-2</v>
      </c>
    </row>
    <row r="16" spans="2:18" ht="15" hidden="1" thickTop="1" x14ac:dyDescent="0.3">
      <c r="B16" s="106"/>
      <c r="C16" s="93" t="s">
        <v>7</v>
      </c>
      <c r="D16" s="10"/>
      <c r="E16" s="10"/>
      <c r="F16" s="10"/>
      <c r="G16" s="127">
        <f>Construction!C91</f>
        <v>1.9323999999999999</v>
      </c>
      <c r="H16" s="109">
        <f>Construction!C90</f>
        <v>7.7295999999999996</v>
      </c>
      <c r="I16" s="3"/>
      <c r="J16" s="3"/>
      <c r="K16" s="3" t="s">
        <v>7</v>
      </c>
      <c r="O16" s="4">
        <v>0.01</v>
      </c>
      <c r="P16" s="4">
        <v>1</v>
      </c>
      <c r="Q16" s="43">
        <v>0.01</v>
      </c>
      <c r="R16" s="17">
        <v>0.1</v>
      </c>
    </row>
    <row r="17" spans="2:18" ht="15.6" thickTop="1" thickBot="1" x14ac:dyDescent="0.35">
      <c r="B17" s="110" t="s">
        <v>228</v>
      </c>
      <c r="C17" s="10"/>
      <c r="D17" s="98"/>
      <c r="E17" s="98"/>
      <c r="F17" s="98"/>
      <c r="G17" s="134">
        <f>SUM(G14:G16)</f>
        <v>6.7021183443085608</v>
      </c>
      <c r="H17" s="135">
        <f>SUM(H14:H16)</f>
        <v>13.214577046095954</v>
      </c>
      <c r="I17" s="3"/>
      <c r="J17" s="3"/>
      <c r="K17" s="30" t="s">
        <v>228</v>
      </c>
      <c r="L17" s="25"/>
      <c r="M17" s="25"/>
      <c r="N17" s="25"/>
      <c r="O17" s="129">
        <f>SUM(O14:O16)</f>
        <v>49.126071428571429</v>
      </c>
      <c r="P17" s="26">
        <f t="shared" ref="P17:R17" si="0">SUM(P14:P16)</f>
        <v>85.6875</v>
      </c>
      <c r="Q17" s="44">
        <f t="shared" si="0"/>
        <v>1.0335183443085607</v>
      </c>
      <c r="R17" s="29">
        <f t="shared" si="0"/>
        <v>1.898777046095955</v>
      </c>
    </row>
    <row r="18" spans="2:18" ht="15" thickTop="1" x14ac:dyDescent="0.3">
      <c r="B18" s="106"/>
      <c r="C18" s="10"/>
      <c r="D18" s="10"/>
      <c r="E18" s="10"/>
      <c r="F18" s="10"/>
      <c r="G18" s="136"/>
      <c r="H18" s="137"/>
      <c r="I18" s="3"/>
      <c r="J18" s="3"/>
      <c r="K18" s="3"/>
      <c r="O18" s="3"/>
    </row>
    <row r="19" spans="2:18" ht="18" hidden="1" thickBot="1" x14ac:dyDescent="0.4">
      <c r="B19" s="104"/>
      <c r="C19" s="10"/>
      <c r="D19" s="97"/>
      <c r="E19" s="97"/>
      <c r="F19" s="97"/>
      <c r="G19" s="138"/>
      <c r="H19" s="139"/>
      <c r="I19" s="3"/>
      <c r="J19" s="35"/>
      <c r="K19" s="35"/>
      <c r="L19" s="36"/>
      <c r="M19" s="36"/>
      <c r="N19" s="36"/>
      <c r="O19" s="35"/>
      <c r="P19" s="36"/>
      <c r="Q19" s="36"/>
      <c r="R19" s="36"/>
    </row>
    <row r="20" spans="2:18" ht="15" hidden="1" thickTop="1" x14ac:dyDescent="0.3">
      <c r="B20" s="106" t="s">
        <v>21</v>
      </c>
      <c r="C20" s="10"/>
      <c r="D20" s="10"/>
      <c r="E20" s="10"/>
      <c r="F20" s="10"/>
      <c r="G20" s="140">
        <f>Q20</f>
        <v>0.7</v>
      </c>
      <c r="H20" s="141">
        <f>R20</f>
        <v>1.1000000000000001</v>
      </c>
      <c r="I20" s="3"/>
      <c r="J20" s="3"/>
      <c r="K20" s="3" t="s">
        <v>21</v>
      </c>
      <c r="O20" s="130">
        <f>Construction!C18</f>
        <v>30</v>
      </c>
      <c r="P20" s="5">
        <f>Construction!D18</f>
        <v>50</v>
      </c>
      <c r="Q20" s="46">
        <f>Construction!C19</f>
        <v>0.7</v>
      </c>
      <c r="R20" s="5">
        <f>Construction!D19</f>
        <v>1.1000000000000001</v>
      </c>
    </row>
    <row r="21" spans="2:18" hidden="1" x14ac:dyDescent="0.3">
      <c r="B21" s="106" t="s">
        <v>8</v>
      </c>
      <c r="C21" s="10"/>
      <c r="D21" s="10"/>
      <c r="E21" s="10"/>
      <c r="F21" s="10"/>
      <c r="G21" s="136">
        <f t="shared" ref="G21:H26" si="1">Q21</f>
        <v>0.72224835371589835</v>
      </c>
      <c r="H21" s="137">
        <f t="shared" si="1"/>
        <v>1.8889934148635936</v>
      </c>
      <c r="I21" s="3"/>
      <c r="J21" s="3"/>
      <c r="K21" s="3" t="s">
        <v>8</v>
      </c>
      <c r="O21" s="130">
        <f>Construction!F30+Construction!D39</f>
        <v>34.727678571428569</v>
      </c>
      <c r="P21" s="5">
        <f>Construction!G30+Construction!E39</f>
        <v>89.455357142857139</v>
      </c>
      <c r="Q21" s="42">
        <f>Construction!F31+Construction!D40</f>
        <v>0.72224835371589835</v>
      </c>
      <c r="R21" s="5">
        <f>Construction!G31+Construction!E40</f>
        <v>1.8889934148635936</v>
      </c>
    </row>
    <row r="22" spans="2:18" hidden="1" x14ac:dyDescent="0.3">
      <c r="B22" s="106" t="s">
        <v>9</v>
      </c>
      <c r="C22" s="10"/>
      <c r="D22" s="10"/>
      <c r="E22" s="10"/>
      <c r="F22" s="10"/>
      <c r="G22" s="136">
        <f t="shared" si="1"/>
        <v>0.11767110795400003</v>
      </c>
      <c r="H22" s="137">
        <f t="shared" si="1"/>
        <v>0.22267110795400002</v>
      </c>
      <c r="I22" s="3"/>
      <c r="J22" s="3"/>
      <c r="K22" s="3" t="s">
        <v>9</v>
      </c>
      <c r="O22" s="130">
        <f>Construction!G52+Construction!C60</f>
        <v>5.5841244533527696</v>
      </c>
      <c r="P22" s="5">
        <f>Construction!H52+Construction!C60</f>
        <v>10.566936953352769</v>
      </c>
      <c r="Q22" s="42">
        <f>Construction!I52+Construction!C61</f>
        <v>0.11767110795400003</v>
      </c>
      <c r="R22" s="5">
        <f>Construction!J52+Construction!C61</f>
        <v>0.22267110795400002</v>
      </c>
    </row>
    <row r="23" spans="2:18" hidden="1" x14ac:dyDescent="0.3">
      <c r="B23" s="106" t="s">
        <v>5</v>
      </c>
      <c r="C23" s="10"/>
      <c r="D23" s="10"/>
      <c r="E23" s="10"/>
      <c r="F23" s="10"/>
      <c r="G23" s="136">
        <v>0</v>
      </c>
      <c r="H23" s="137">
        <f t="shared" si="1"/>
        <v>10</v>
      </c>
      <c r="I23" s="3"/>
      <c r="J23" s="3"/>
      <c r="K23" s="3" t="s">
        <v>5</v>
      </c>
      <c r="O23" s="3">
        <v>0</v>
      </c>
      <c r="P23" s="5">
        <f>Construction!D72</f>
        <v>474.55357142857144</v>
      </c>
      <c r="Q23" s="45">
        <v>0</v>
      </c>
      <c r="R23" s="5">
        <f>Construction!D73</f>
        <v>10</v>
      </c>
    </row>
    <row r="24" spans="2:18" s="55" customFormat="1" hidden="1" x14ac:dyDescent="0.3">
      <c r="B24" s="111" t="s">
        <v>201</v>
      </c>
      <c r="C24" s="94"/>
      <c r="D24" s="94"/>
      <c r="E24" s="94"/>
      <c r="F24" s="94"/>
      <c r="G24" s="140">
        <v>0</v>
      </c>
      <c r="H24" s="141">
        <f>Construction!C100</f>
        <v>4</v>
      </c>
      <c r="I24" s="62"/>
      <c r="J24" s="62"/>
      <c r="K24" s="62" t="s">
        <v>201</v>
      </c>
      <c r="O24" s="62"/>
      <c r="P24" s="63"/>
      <c r="Q24" s="89"/>
      <c r="R24" s="63"/>
    </row>
    <row r="25" spans="2:18" s="55" customFormat="1" hidden="1" x14ac:dyDescent="0.3">
      <c r="B25" s="111" t="s">
        <v>203</v>
      </c>
      <c r="C25" s="94"/>
      <c r="D25" s="94"/>
      <c r="E25" s="94"/>
      <c r="F25" s="94"/>
      <c r="G25" s="140">
        <v>0</v>
      </c>
      <c r="H25" s="141">
        <v>5</v>
      </c>
      <c r="I25" s="62"/>
      <c r="J25" s="62"/>
      <c r="K25" s="62" t="s">
        <v>203</v>
      </c>
      <c r="O25" s="62"/>
      <c r="P25" s="63"/>
      <c r="Q25" s="89"/>
      <c r="R25" s="63"/>
    </row>
    <row r="26" spans="2:18" s="55" customFormat="1" hidden="1" x14ac:dyDescent="0.3">
      <c r="B26" s="111" t="s">
        <v>57</v>
      </c>
      <c r="C26" s="94"/>
      <c r="D26" s="94"/>
      <c r="E26" s="94"/>
      <c r="F26" s="94"/>
      <c r="G26" s="140">
        <f t="shared" si="1"/>
        <v>0.23098791925048473</v>
      </c>
      <c r="H26" s="141">
        <f t="shared" si="1"/>
        <v>1.9817496784226392</v>
      </c>
      <c r="I26" s="62"/>
      <c r="J26" s="62"/>
      <c r="K26" s="62" t="s">
        <v>57</v>
      </c>
      <c r="O26" s="131">
        <f>SUM(O20:O23)*0.15</f>
        <v>10.546770453717201</v>
      </c>
      <c r="P26" s="63">
        <f t="shared" ref="P26:R26" si="2">SUM(P20:P23)*0.15</f>
        <v>93.686379828717207</v>
      </c>
      <c r="Q26" s="61">
        <f t="shared" si="2"/>
        <v>0.23098791925048473</v>
      </c>
      <c r="R26" s="63">
        <f t="shared" si="2"/>
        <v>1.9817496784226392</v>
      </c>
    </row>
    <row r="27" spans="2:18" s="55" customFormat="1" ht="15" thickBot="1" x14ac:dyDescent="0.35">
      <c r="B27" s="112" t="s">
        <v>229</v>
      </c>
      <c r="C27" s="94"/>
      <c r="D27" s="99"/>
      <c r="E27" s="99"/>
      <c r="F27" s="99"/>
      <c r="G27" s="142">
        <f>SUM(G20:G26)</f>
        <v>1.770907380920383</v>
      </c>
      <c r="H27" s="143">
        <f>SUM(H20:H26)</f>
        <v>24.19341420124023</v>
      </c>
      <c r="I27" s="62"/>
      <c r="J27" s="62"/>
      <c r="K27" s="64" t="s">
        <v>229</v>
      </c>
      <c r="L27" s="65"/>
      <c r="M27" s="65"/>
      <c r="N27" s="65"/>
      <c r="O27" s="132">
        <f>SUM(O20:O26)</f>
        <v>80.858573478498542</v>
      </c>
      <c r="P27" s="67">
        <f t="shared" ref="P27:R27" si="3">SUM(P20:P26)</f>
        <v>718.26224535349866</v>
      </c>
      <c r="Q27" s="66">
        <f t="shared" si="3"/>
        <v>1.770907380920383</v>
      </c>
      <c r="R27" s="67">
        <f t="shared" si="3"/>
        <v>15.193414201240234</v>
      </c>
    </row>
    <row r="28" spans="2:18" s="55" customFormat="1" ht="15" thickTop="1" x14ac:dyDescent="0.3">
      <c r="B28" s="111"/>
      <c r="C28" s="94"/>
      <c r="D28" s="94"/>
      <c r="E28" s="94"/>
      <c r="F28" s="94"/>
      <c r="G28" s="140"/>
      <c r="H28" s="141"/>
      <c r="I28" s="62"/>
      <c r="J28" s="62"/>
      <c r="K28" s="62"/>
      <c r="O28" s="62"/>
    </row>
    <row r="29" spans="2:18" s="55" customFormat="1" ht="18" hidden="1" thickBot="1" x14ac:dyDescent="0.4">
      <c r="B29" s="113"/>
      <c r="C29" s="94"/>
      <c r="D29" s="100"/>
      <c r="E29" s="100"/>
      <c r="F29" s="100"/>
      <c r="G29" s="144"/>
      <c r="H29" s="145"/>
      <c r="I29" s="62"/>
      <c r="J29" s="68"/>
      <c r="K29" s="68"/>
      <c r="L29" s="69"/>
      <c r="M29" s="69"/>
      <c r="N29" s="69"/>
      <c r="O29" s="68"/>
      <c r="P29" s="69"/>
      <c r="Q29" s="69"/>
      <c r="R29" s="69"/>
    </row>
    <row r="30" spans="2:18" s="55" customFormat="1" ht="15" hidden="1" thickTop="1" x14ac:dyDescent="0.3">
      <c r="B30" s="111" t="s">
        <v>10</v>
      </c>
      <c r="C30" s="94"/>
      <c r="D30" s="94"/>
      <c r="E30" s="94"/>
      <c r="F30" s="94"/>
      <c r="G30" s="140">
        <f t="shared" ref="G30:H33" si="4">Q30</f>
        <v>5.2751646284101603E-2</v>
      </c>
      <c r="H30" s="141">
        <f t="shared" si="4"/>
        <v>5.2751646284101603E-2</v>
      </c>
      <c r="I30" s="62"/>
      <c r="J30" s="62"/>
      <c r="K30" s="62" t="s">
        <v>10</v>
      </c>
      <c r="O30" s="131">
        <f>Receiving!D17+Receiving!D25</f>
        <v>2.5033482142857144</v>
      </c>
      <c r="P30" s="63">
        <f>O30</f>
        <v>2.5033482142857144</v>
      </c>
      <c r="Q30" s="70">
        <f>Receiving!D18+Receiving!D26</f>
        <v>5.2751646284101603E-2</v>
      </c>
      <c r="R30" s="63">
        <f>Q30</f>
        <v>5.2751646284101603E-2</v>
      </c>
    </row>
    <row r="31" spans="2:18" s="55" customFormat="1" hidden="1" x14ac:dyDescent="0.3">
      <c r="B31" s="111" t="s">
        <v>11</v>
      </c>
      <c r="C31" s="94"/>
      <c r="D31" s="94"/>
      <c r="E31" s="94"/>
      <c r="F31" s="94"/>
      <c r="G31" s="140">
        <f t="shared" si="4"/>
        <v>1.4999999999999999E-2</v>
      </c>
      <c r="H31" s="141">
        <f t="shared" si="4"/>
        <v>1.25</v>
      </c>
      <c r="I31" s="62"/>
      <c r="J31" s="62"/>
      <c r="K31" s="62" t="s">
        <v>11</v>
      </c>
      <c r="O31" s="131">
        <f>Receiving!C32</f>
        <v>0.33482142857142855</v>
      </c>
      <c r="P31" s="63">
        <f>Receiving!D32</f>
        <v>0.6696428571428571</v>
      </c>
      <c r="Q31" s="61">
        <f>Receiving!C33</f>
        <v>1.4999999999999999E-2</v>
      </c>
      <c r="R31" s="63">
        <f>Receiving!D33</f>
        <v>1.25</v>
      </c>
    </row>
    <row r="32" spans="2:18" s="55" customFormat="1" hidden="1" x14ac:dyDescent="0.3">
      <c r="B32" s="111" t="s">
        <v>12</v>
      </c>
      <c r="C32" s="94"/>
      <c r="D32" s="94"/>
      <c r="E32" s="94"/>
      <c r="F32" s="94"/>
      <c r="G32" s="140">
        <f t="shared" si="4"/>
        <v>0.25870178739416744</v>
      </c>
      <c r="H32" s="141">
        <f t="shared" si="4"/>
        <v>0.25870178739416744</v>
      </c>
      <c r="I32" s="62"/>
      <c r="J32" s="62"/>
      <c r="K32" s="62" t="s">
        <v>12</v>
      </c>
      <c r="O32" s="131">
        <f>Receiving!C40</f>
        <v>12.276785714285714</v>
      </c>
      <c r="P32" s="63">
        <f>O32</f>
        <v>12.276785714285714</v>
      </c>
      <c r="Q32" s="61">
        <f>Receiving!C41</f>
        <v>0.25870178739416744</v>
      </c>
      <c r="R32" s="63">
        <f>Q32</f>
        <v>0.25870178739416744</v>
      </c>
    </row>
    <row r="33" spans="2:18" s="55" customFormat="1" hidden="1" x14ac:dyDescent="0.3">
      <c r="B33" s="111" t="s">
        <v>109</v>
      </c>
      <c r="C33" s="94"/>
      <c r="D33" s="94"/>
      <c r="E33" s="94"/>
      <c r="F33" s="94"/>
      <c r="G33" s="146">
        <f t="shared" si="4"/>
        <v>6.5290686735653816E-2</v>
      </c>
      <c r="H33" s="147">
        <f t="shared" si="4"/>
        <v>0.31229068673565386</v>
      </c>
      <c r="I33" s="62"/>
      <c r="J33" s="62"/>
      <c r="K33" s="62" t="s">
        <v>109</v>
      </c>
      <c r="O33" s="131">
        <f>SUM(O30:O32)*0.2</f>
        <v>3.0229910714285713</v>
      </c>
      <c r="P33" s="63">
        <f t="shared" ref="P33:R33" si="5">SUM(P30:P32)*0.2</f>
        <v>3.0899553571428573</v>
      </c>
      <c r="Q33" s="61">
        <f t="shared" si="5"/>
        <v>6.5290686735653816E-2</v>
      </c>
      <c r="R33" s="63">
        <f t="shared" si="5"/>
        <v>0.31229068673565386</v>
      </c>
    </row>
    <row r="34" spans="2:18" ht="15" thickBot="1" x14ac:dyDescent="0.35">
      <c r="B34" s="110" t="s">
        <v>230</v>
      </c>
      <c r="C34" s="10"/>
      <c r="D34" s="98"/>
      <c r="E34" s="98"/>
      <c r="F34" s="98"/>
      <c r="G34" s="134">
        <f t="shared" ref="G34:H34" si="6">SUM(G30:G33)</f>
        <v>0.39174412041392287</v>
      </c>
      <c r="H34" s="135">
        <f t="shared" si="6"/>
        <v>1.8737441204139229</v>
      </c>
      <c r="K34" s="30" t="s">
        <v>230</v>
      </c>
      <c r="L34" s="25"/>
      <c r="M34" s="25"/>
      <c r="N34" s="25"/>
      <c r="O34" s="129">
        <f>SUM(O29:O33)</f>
        <v>18.137946428571428</v>
      </c>
      <c r="P34" s="26">
        <f t="shared" ref="P34:R34" si="7">SUM(P29:P33)</f>
        <v>18.53973214285714</v>
      </c>
      <c r="Q34" s="44">
        <f t="shared" si="7"/>
        <v>0.39174412041392287</v>
      </c>
      <c r="R34" s="26">
        <f t="shared" si="7"/>
        <v>1.8737441204139229</v>
      </c>
    </row>
    <row r="35" spans="2:18" ht="15.6" thickTop="1" thickBot="1" x14ac:dyDescent="0.35">
      <c r="B35" s="19"/>
      <c r="C35" s="14"/>
      <c r="D35" s="14"/>
      <c r="E35" s="14"/>
      <c r="F35" s="14"/>
      <c r="G35" s="148"/>
      <c r="H35" s="149"/>
      <c r="O35" s="3"/>
    </row>
    <row r="36" spans="2:18" ht="18.600000000000001" thickBot="1" x14ac:dyDescent="0.4">
      <c r="B36" s="119" t="s">
        <v>168</v>
      </c>
      <c r="C36" s="101"/>
      <c r="D36" s="101"/>
      <c r="E36" s="101"/>
      <c r="F36" s="101"/>
      <c r="G36" s="173">
        <f t="shared" ref="G36" si="8">G34+G27+G17</f>
        <v>8.8647698456428667</v>
      </c>
      <c r="H36" s="173">
        <f>H34+H27+H17</f>
        <v>39.281735367750109</v>
      </c>
      <c r="J36" s="47" t="s">
        <v>113</v>
      </c>
      <c r="K36" s="47"/>
      <c r="L36" s="47"/>
      <c r="M36" s="47"/>
      <c r="N36" s="47"/>
      <c r="O36" s="133">
        <f>O34+O27+O17</f>
        <v>148.1225913356414</v>
      </c>
      <c r="P36" s="48">
        <f t="shared" ref="P36:R36" si="9">P34+P27+P17</f>
        <v>822.48947749635579</v>
      </c>
      <c r="Q36" s="48">
        <f t="shared" si="9"/>
        <v>3.1961698456428667</v>
      </c>
      <c r="R36" s="48">
        <f t="shared" si="9"/>
        <v>18.965935367750113</v>
      </c>
    </row>
    <row r="37" spans="2:18" ht="15" hidden="1" thickTop="1" x14ac:dyDescent="0.3">
      <c r="B37" s="16"/>
      <c r="C37" s="10"/>
      <c r="D37" s="10"/>
      <c r="E37" s="10"/>
      <c r="F37" s="10"/>
      <c r="G37" s="174"/>
      <c r="H37" s="174"/>
    </row>
    <row r="38" spans="2:18" ht="22.2" hidden="1" thickTop="1" thickBot="1" x14ac:dyDescent="0.45">
      <c r="B38" s="120" t="s">
        <v>169</v>
      </c>
      <c r="C38" s="95"/>
      <c r="D38" s="95"/>
      <c r="E38" s="95"/>
      <c r="F38" s="95"/>
      <c r="G38" s="175">
        <f>ROUND(G36*25000,0)</f>
        <v>221619</v>
      </c>
      <c r="H38" s="175">
        <f>ROUND(H36*25000,0)</f>
        <v>982043</v>
      </c>
      <c r="J38" s="49" t="s">
        <v>121</v>
      </c>
      <c r="K38" s="49"/>
      <c r="L38" s="49"/>
      <c r="M38" s="49"/>
      <c r="N38" s="49"/>
      <c r="O38" s="49"/>
      <c r="P38" s="49"/>
      <c r="Q38" s="50">
        <f>Q36*25000000</f>
        <v>79904246.141071662</v>
      </c>
      <c r="R38" s="50">
        <f>R36*25000000</f>
        <v>474148384.19375283</v>
      </c>
    </row>
    <row r="39" spans="2:18" ht="15" hidden="1" thickTop="1" x14ac:dyDescent="0.3">
      <c r="B39" s="16"/>
      <c r="C39" s="10"/>
      <c r="D39" s="10"/>
      <c r="E39" s="10"/>
      <c r="F39" s="10"/>
      <c r="G39" s="174"/>
      <c r="H39" s="174"/>
    </row>
    <row r="40" spans="2:18" ht="15.6" hidden="1" thickTop="1" thickBot="1" x14ac:dyDescent="0.35">
      <c r="B40" s="16"/>
      <c r="C40" s="10"/>
      <c r="D40" s="10"/>
      <c r="E40" s="10"/>
      <c r="F40" s="10"/>
      <c r="G40" s="174"/>
      <c r="H40" s="174"/>
      <c r="J40" s="22" t="s">
        <v>119</v>
      </c>
      <c r="K40" s="22" t="s">
        <v>118</v>
      </c>
      <c r="L40" s="22"/>
      <c r="M40" s="22" t="s">
        <v>117</v>
      </c>
      <c r="N40" s="22"/>
    </row>
    <row r="41" spans="2:18" ht="22.2" thickTop="1" thickBot="1" x14ac:dyDescent="0.45">
      <c r="B41" s="120" t="s">
        <v>208</v>
      </c>
      <c r="C41" s="95"/>
      <c r="D41" s="95"/>
      <c r="E41" s="95"/>
      <c r="F41" s="95"/>
      <c r="G41" s="175">
        <f>ROUND(G38/172,0)</f>
        <v>1288</v>
      </c>
      <c r="H41" s="175">
        <f>ROUND(H38/172,0)</f>
        <v>5710</v>
      </c>
      <c r="J41" s="49">
        <v>120000000</v>
      </c>
      <c r="K41" s="52">
        <v>0.5</v>
      </c>
      <c r="L41" s="49"/>
      <c r="M41" s="52">
        <v>0.01</v>
      </c>
      <c r="N41" s="49"/>
      <c r="O41" s="50">
        <f>J41*K41*M41*O36</f>
        <v>88873554.801384836</v>
      </c>
      <c r="P41" s="50">
        <f>J41*K41*M41*P36</f>
        <v>493493686.49781346</v>
      </c>
    </row>
    <row r="42" spans="2:18" ht="15" thickTop="1" x14ac:dyDescent="0.3">
      <c r="B42" s="121"/>
      <c r="C42" s="10"/>
      <c r="D42" s="10"/>
      <c r="E42" s="10"/>
      <c r="F42" s="10"/>
      <c r="G42" s="174"/>
      <c r="H42" s="174"/>
    </row>
    <row r="43" spans="2:18" ht="21.6" thickBot="1" x14ac:dyDescent="0.45">
      <c r="B43" s="122" t="s">
        <v>224</v>
      </c>
      <c r="C43" s="123"/>
      <c r="D43" s="123"/>
      <c r="E43" s="123"/>
      <c r="F43" s="123"/>
      <c r="G43" s="176">
        <f>ROUND(G41*50261,0)</f>
        <v>64736168</v>
      </c>
      <c r="H43" s="176">
        <f>ROUND(H41*50261,0)</f>
        <v>286990310</v>
      </c>
      <c r="J43" s="74"/>
      <c r="K43" s="75"/>
      <c r="L43" s="74"/>
      <c r="M43" s="75"/>
      <c r="N43" s="74"/>
      <c r="O43" s="76"/>
      <c r="P43" s="76"/>
    </row>
    <row r="44" spans="2:18" ht="15" thickBot="1" x14ac:dyDescent="0.35"/>
    <row r="45" spans="2:18" ht="20.399999999999999" thickBot="1" x14ac:dyDescent="0.45">
      <c r="B45" s="114" t="s">
        <v>237</v>
      </c>
      <c r="C45" s="115"/>
      <c r="D45" s="116"/>
      <c r="E45" s="116"/>
      <c r="F45" s="116"/>
      <c r="G45" s="116"/>
      <c r="H45" s="117"/>
    </row>
    <row r="46" spans="2:18" ht="15.6" thickTop="1" thickBot="1" x14ac:dyDescent="0.35">
      <c r="B46" s="118" t="s">
        <v>238</v>
      </c>
      <c r="C46" s="93"/>
      <c r="D46" s="10"/>
      <c r="E46" s="10"/>
      <c r="F46" s="10"/>
      <c r="G46" s="10"/>
      <c r="H46" s="11"/>
    </row>
    <row r="47" spans="2:18" ht="18" thickBot="1" x14ac:dyDescent="0.4">
      <c r="B47" s="102"/>
      <c r="C47" s="103"/>
      <c r="D47" s="7"/>
      <c r="E47" s="7"/>
      <c r="F47" s="7"/>
      <c r="G47" s="192" t="s">
        <v>232</v>
      </c>
      <c r="H47" s="193"/>
    </row>
    <row r="48" spans="2:18" ht="18" thickTop="1" x14ac:dyDescent="0.35">
      <c r="B48" s="104"/>
      <c r="C48" s="96"/>
      <c r="D48" s="97"/>
      <c r="E48" s="97"/>
      <c r="F48" s="97"/>
      <c r="G48" s="124" t="s">
        <v>52</v>
      </c>
      <c r="H48" s="105" t="s">
        <v>53</v>
      </c>
    </row>
    <row r="49" spans="2:8" hidden="1" x14ac:dyDescent="0.3">
      <c r="B49" s="106"/>
      <c r="C49" s="93" t="s">
        <v>97</v>
      </c>
      <c r="D49" s="10"/>
      <c r="E49" s="10"/>
      <c r="F49" s="10"/>
      <c r="G49" s="82">
        <f>Construction!C191</f>
        <v>3.0998000000000001</v>
      </c>
      <c r="H49" s="128">
        <f>Construction!C191</f>
        <v>3.0998000000000001</v>
      </c>
    </row>
    <row r="50" spans="2:8" hidden="1" x14ac:dyDescent="0.3">
      <c r="B50" s="106"/>
      <c r="C50" s="93" t="s">
        <v>6</v>
      </c>
      <c r="D50" s="10"/>
      <c r="E50" s="10"/>
      <c r="F50" s="10"/>
      <c r="G50" s="61">
        <f>Construction!C155+Preconstruction!C19</f>
        <v>1.46</v>
      </c>
      <c r="H50" s="108">
        <f>Construction!C155*2+Preconstruction!D19</f>
        <v>2.62</v>
      </c>
    </row>
    <row r="51" spans="2:8" hidden="1" x14ac:dyDescent="0.3">
      <c r="B51" s="106"/>
      <c r="C51" s="93" t="s">
        <v>7</v>
      </c>
      <c r="D51" s="10"/>
      <c r="E51" s="10"/>
      <c r="F51" s="10"/>
      <c r="G51" s="71">
        <f>Construction!C149</f>
        <v>0.96620000000000006</v>
      </c>
      <c r="H51" s="109">
        <f>Construction!C148</f>
        <v>5.7972000000000001</v>
      </c>
    </row>
    <row r="52" spans="2:8" x14ac:dyDescent="0.3">
      <c r="B52" s="110" t="s">
        <v>228</v>
      </c>
      <c r="C52" s="10"/>
      <c r="D52" s="98"/>
      <c r="E52" s="98"/>
      <c r="F52" s="98"/>
      <c r="G52" s="150">
        <f>SUM(G49:G51)</f>
        <v>5.5259999999999998</v>
      </c>
      <c r="H52" s="151">
        <f>SUM(H49:H51)</f>
        <v>11.516999999999999</v>
      </c>
    </row>
    <row r="53" spans="2:8" hidden="1" x14ac:dyDescent="0.3">
      <c r="B53" s="106"/>
      <c r="C53" s="10"/>
      <c r="D53" s="10"/>
      <c r="E53" s="10"/>
      <c r="F53" s="10"/>
      <c r="G53" s="152"/>
      <c r="H53" s="153"/>
    </row>
    <row r="54" spans="2:8" ht="17.399999999999999" x14ac:dyDescent="0.35">
      <c r="B54" s="104"/>
      <c r="C54" s="10"/>
      <c r="D54" s="97"/>
      <c r="E54" s="97"/>
      <c r="F54" s="97"/>
      <c r="G54" s="154"/>
      <c r="H54" s="155"/>
    </row>
    <row r="55" spans="2:8" hidden="1" x14ac:dyDescent="0.3">
      <c r="B55" s="106" t="s">
        <v>21</v>
      </c>
      <c r="C55" s="10"/>
      <c r="D55" s="10"/>
      <c r="E55" s="10"/>
      <c r="F55" s="10"/>
      <c r="G55" s="156">
        <f t="shared" ref="G55:H61" si="10">G20</f>
        <v>0.7</v>
      </c>
      <c r="H55" s="157">
        <f t="shared" si="10"/>
        <v>1.1000000000000001</v>
      </c>
    </row>
    <row r="56" spans="2:8" hidden="1" x14ac:dyDescent="0.3">
      <c r="B56" s="106" t="s">
        <v>8</v>
      </c>
      <c r="C56" s="10"/>
      <c r="D56" s="10"/>
      <c r="E56" s="10"/>
      <c r="F56" s="10"/>
      <c r="G56" s="152">
        <f t="shared" si="10"/>
        <v>0.72224835371589835</v>
      </c>
      <c r="H56" s="153">
        <f t="shared" si="10"/>
        <v>1.8889934148635936</v>
      </c>
    </row>
    <row r="57" spans="2:8" hidden="1" x14ac:dyDescent="0.3">
      <c r="B57" s="106" t="s">
        <v>9</v>
      </c>
      <c r="C57" s="10"/>
      <c r="D57" s="10"/>
      <c r="E57" s="10"/>
      <c r="F57" s="10"/>
      <c r="G57" s="152">
        <f t="shared" si="10"/>
        <v>0.11767110795400003</v>
      </c>
      <c r="H57" s="153">
        <f t="shared" si="10"/>
        <v>0.22267110795400002</v>
      </c>
    </row>
    <row r="58" spans="2:8" hidden="1" x14ac:dyDescent="0.3">
      <c r="B58" s="106" t="s">
        <v>5</v>
      </c>
      <c r="C58" s="10"/>
      <c r="D58" s="10"/>
      <c r="E58" s="10"/>
      <c r="F58" s="10"/>
      <c r="G58" s="152">
        <f t="shared" si="10"/>
        <v>0</v>
      </c>
      <c r="H58" s="153">
        <f t="shared" si="10"/>
        <v>10</v>
      </c>
    </row>
    <row r="59" spans="2:8" hidden="1" x14ac:dyDescent="0.3">
      <c r="B59" s="111" t="s">
        <v>201</v>
      </c>
      <c r="C59" s="94"/>
      <c r="D59" s="94"/>
      <c r="E59" s="94"/>
      <c r="F59" s="94"/>
      <c r="G59" s="156">
        <f t="shared" si="10"/>
        <v>0</v>
      </c>
      <c r="H59" s="157">
        <f t="shared" si="10"/>
        <v>4</v>
      </c>
    </row>
    <row r="60" spans="2:8" hidden="1" x14ac:dyDescent="0.3">
      <c r="B60" s="111" t="s">
        <v>203</v>
      </c>
      <c r="C60" s="94"/>
      <c r="D60" s="94"/>
      <c r="E60" s="94"/>
      <c r="F60" s="94"/>
      <c r="G60" s="156">
        <f t="shared" si="10"/>
        <v>0</v>
      </c>
      <c r="H60" s="157">
        <f t="shared" si="10"/>
        <v>5</v>
      </c>
    </row>
    <row r="61" spans="2:8" hidden="1" x14ac:dyDescent="0.3">
      <c r="B61" s="111" t="s">
        <v>57</v>
      </c>
      <c r="C61" s="94"/>
      <c r="D61" s="94"/>
      <c r="E61" s="94"/>
      <c r="F61" s="94"/>
      <c r="G61" s="156">
        <f t="shared" si="10"/>
        <v>0.23098791925048473</v>
      </c>
      <c r="H61" s="157">
        <f t="shared" si="10"/>
        <v>1.9817496784226392</v>
      </c>
    </row>
    <row r="62" spans="2:8" x14ac:dyDescent="0.3">
      <c r="B62" s="112" t="s">
        <v>229</v>
      </c>
      <c r="C62" s="94"/>
      <c r="D62" s="99"/>
      <c r="E62" s="99"/>
      <c r="F62" s="99"/>
      <c r="G62" s="158">
        <f>SUM(G55:G61)</f>
        <v>1.770907380920383</v>
      </c>
      <c r="H62" s="159">
        <f>SUM(H55:H61)</f>
        <v>24.19341420124023</v>
      </c>
    </row>
    <row r="63" spans="2:8" hidden="1" x14ac:dyDescent="0.3">
      <c r="B63" s="111"/>
      <c r="C63" s="94"/>
      <c r="D63" s="94"/>
      <c r="E63" s="94"/>
      <c r="F63" s="94"/>
      <c r="G63" s="156"/>
      <c r="H63" s="157"/>
    </row>
    <row r="64" spans="2:8" ht="17.399999999999999" x14ac:dyDescent="0.35">
      <c r="B64" s="113"/>
      <c r="C64" s="94"/>
      <c r="D64" s="100"/>
      <c r="E64" s="100"/>
      <c r="F64" s="100"/>
      <c r="G64" s="160"/>
      <c r="H64" s="161"/>
    </row>
    <row r="65" spans="2:8" hidden="1" x14ac:dyDescent="0.3">
      <c r="B65" s="111" t="s">
        <v>10</v>
      </c>
      <c r="C65" s="94"/>
      <c r="D65" s="94"/>
      <c r="E65" s="94"/>
      <c r="F65" s="94"/>
      <c r="G65" s="156">
        <f t="shared" ref="G65:H68" si="11">Q30</f>
        <v>5.2751646284101603E-2</v>
      </c>
      <c r="H65" s="157">
        <f t="shared" si="11"/>
        <v>5.2751646284101603E-2</v>
      </c>
    </row>
    <row r="66" spans="2:8" hidden="1" x14ac:dyDescent="0.3">
      <c r="B66" s="111" t="s">
        <v>11</v>
      </c>
      <c r="C66" s="94"/>
      <c r="D66" s="94"/>
      <c r="E66" s="94"/>
      <c r="F66" s="94"/>
      <c r="G66" s="156">
        <f t="shared" si="11"/>
        <v>1.4999999999999999E-2</v>
      </c>
      <c r="H66" s="157">
        <f t="shared" si="11"/>
        <v>1.25</v>
      </c>
    </row>
    <row r="67" spans="2:8" hidden="1" x14ac:dyDescent="0.3">
      <c r="B67" s="111" t="s">
        <v>12</v>
      </c>
      <c r="C67" s="94"/>
      <c r="D67" s="94"/>
      <c r="E67" s="94"/>
      <c r="F67" s="94"/>
      <c r="G67" s="156">
        <f t="shared" si="11"/>
        <v>0.25870178739416744</v>
      </c>
      <c r="H67" s="157">
        <f t="shared" si="11"/>
        <v>0.25870178739416744</v>
      </c>
    </row>
    <row r="68" spans="2:8" hidden="1" x14ac:dyDescent="0.3">
      <c r="B68" s="111" t="s">
        <v>109</v>
      </c>
      <c r="C68" s="94"/>
      <c r="D68" s="94"/>
      <c r="E68" s="94"/>
      <c r="F68" s="94"/>
      <c r="G68" s="162">
        <f t="shared" si="11"/>
        <v>6.5290686735653816E-2</v>
      </c>
      <c r="H68" s="163">
        <f t="shared" si="11"/>
        <v>0.31229068673565386</v>
      </c>
    </row>
    <row r="69" spans="2:8" x14ac:dyDescent="0.3">
      <c r="B69" s="110" t="s">
        <v>230</v>
      </c>
      <c r="C69" s="10"/>
      <c r="D69" s="98"/>
      <c r="E69" s="98"/>
      <c r="F69" s="98"/>
      <c r="G69" s="150">
        <f t="shared" ref="G69:H69" si="12">SUM(G65:G68)</f>
        <v>0.39174412041392287</v>
      </c>
      <c r="H69" s="151">
        <f t="shared" si="12"/>
        <v>1.8737441204139229</v>
      </c>
    </row>
    <row r="70" spans="2:8" ht="15" thickBot="1" x14ac:dyDescent="0.35">
      <c r="B70" s="19"/>
      <c r="C70" s="14"/>
      <c r="D70" s="14"/>
      <c r="E70" s="14"/>
      <c r="F70" s="14"/>
      <c r="G70" s="164"/>
      <c r="H70" s="165"/>
    </row>
    <row r="71" spans="2:8" ht="18.600000000000001" thickBot="1" x14ac:dyDescent="0.4">
      <c r="B71" s="119" t="s">
        <v>168</v>
      </c>
      <c r="C71" s="101"/>
      <c r="D71" s="101"/>
      <c r="E71" s="101"/>
      <c r="F71" s="101"/>
      <c r="G71" s="166">
        <f t="shared" ref="G71" si="13">G69+G62+G52</f>
        <v>7.6886515013343057</v>
      </c>
      <c r="H71" s="167">
        <f>H69+H62+H52</f>
        <v>37.584158321654158</v>
      </c>
    </row>
    <row r="72" spans="2:8" ht="15" hidden="1" thickTop="1" x14ac:dyDescent="0.3">
      <c r="B72" s="16"/>
      <c r="C72" s="10"/>
      <c r="D72" s="10"/>
      <c r="E72" s="10"/>
      <c r="F72" s="10"/>
      <c r="G72" s="168"/>
      <c r="H72" s="153"/>
    </row>
    <row r="73" spans="2:8" ht="22.2" hidden="1" thickTop="1" thickBot="1" x14ac:dyDescent="0.45">
      <c r="B73" s="120" t="s">
        <v>223</v>
      </c>
      <c r="C73" s="95"/>
      <c r="D73" s="95"/>
      <c r="E73" s="95"/>
      <c r="F73" s="95"/>
      <c r="G73" s="169">
        <f>ROUND(G71*50000,0)</f>
        <v>384433</v>
      </c>
      <c r="H73" s="170">
        <f>ROUND(H71*50000,0)</f>
        <v>1879208</v>
      </c>
    </row>
    <row r="74" spans="2:8" ht="15" hidden="1" thickTop="1" x14ac:dyDescent="0.3">
      <c r="B74" s="16"/>
      <c r="C74" s="10"/>
      <c r="D74" s="10"/>
      <c r="E74" s="10"/>
      <c r="F74" s="10"/>
      <c r="G74" s="168"/>
      <c r="H74" s="153"/>
    </row>
    <row r="75" spans="2:8" ht="15" hidden="1" thickTop="1" x14ac:dyDescent="0.3">
      <c r="B75" s="16"/>
      <c r="C75" s="10"/>
      <c r="D75" s="10"/>
      <c r="E75" s="10"/>
      <c r="F75" s="10"/>
      <c r="G75" s="168"/>
      <c r="H75" s="153"/>
    </row>
    <row r="76" spans="2:8" ht="22.2" thickTop="1" thickBot="1" x14ac:dyDescent="0.45">
      <c r="B76" s="120" t="s">
        <v>215</v>
      </c>
      <c r="C76" s="95"/>
      <c r="D76" s="95"/>
      <c r="E76" s="95"/>
      <c r="F76" s="95"/>
      <c r="G76" s="169">
        <f>ROUND(G73/172,0)</f>
        <v>2235</v>
      </c>
      <c r="H76" s="170">
        <f>ROUND(H73/172,0)</f>
        <v>10926</v>
      </c>
    </row>
    <row r="77" spans="2:8" ht="15" thickTop="1" x14ac:dyDescent="0.3">
      <c r="B77" s="121"/>
      <c r="C77" s="10"/>
      <c r="D77" s="10"/>
      <c r="E77" s="10"/>
      <c r="F77" s="10"/>
      <c r="G77" s="168"/>
      <c r="H77" s="153"/>
    </row>
    <row r="78" spans="2:8" ht="21.6" thickBot="1" x14ac:dyDescent="0.45">
      <c r="B78" s="122" t="s">
        <v>225</v>
      </c>
      <c r="C78" s="123"/>
      <c r="D78" s="123"/>
      <c r="E78" s="123"/>
      <c r="F78" s="123"/>
      <c r="G78" s="171">
        <f>ROUND(G76*26373,0)</f>
        <v>58943655</v>
      </c>
      <c r="H78" s="172">
        <f>ROUND(H76*26373,0)</f>
        <v>288151398</v>
      </c>
    </row>
  </sheetData>
  <mergeCells count="4">
    <mergeCell ref="G12:H12"/>
    <mergeCell ref="O12:P12"/>
    <mergeCell ref="Q12:R12"/>
    <mergeCell ref="G47:H47"/>
  </mergeCells>
  <hyperlinks>
    <hyperlink ref="K4" r:id="rId1" location=":~:text=About%20excess%20soil,-What%20is%20excess&amp;text=An%20estimated%2025%20million%20cubic,where%20it%20may%20be%20reused." xr:uid="{AD1F9C99-263F-4215-A979-92EDF4AAE35C}"/>
  </hyperlinks>
  <pageMargins left="0.70866141732283472" right="0.70866141732283472" top="0.74803149606299213" bottom="0.74803149606299213" header="0.31496062992125984" footer="0.31496062992125984"/>
  <pageSetup paperSize="3"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D18FB-2CF4-4CF5-9A47-C8B3B1039CA7}">
  <sheetPr>
    <pageSetUpPr fitToPage="1"/>
  </sheetPr>
  <dimension ref="A1:I25"/>
  <sheetViews>
    <sheetView zoomScale="70" zoomScaleNormal="70" workbookViewId="0">
      <selection activeCell="J6" sqref="J6"/>
    </sheetView>
  </sheetViews>
  <sheetFormatPr defaultRowHeight="14.4" x14ac:dyDescent="0.3"/>
  <cols>
    <col min="1" max="1" width="11.88671875" customWidth="1"/>
    <col min="2" max="2" width="68" customWidth="1"/>
    <col min="3" max="3" width="85.6640625" customWidth="1"/>
  </cols>
  <sheetData>
    <row r="1" spans="1:9" ht="20.399999999999999" thickBot="1" x14ac:dyDescent="0.45">
      <c r="A1" s="33" t="s">
        <v>123</v>
      </c>
      <c r="B1" s="33"/>
      <c r="C1" s="33"/>
    </row>
    <row r="2" spans="1:9" ht="15" thickTop="1" x14ac:dyDescent="0.3">
      <c r="A2" s="85" t="s">
        <v>124</v>
      </c>
      <c r="B2" s="85" t="s">
        <v>127</v>
      </c>
      <c r="C2" s="85" t="s">
        <v>128</v>
      </c>
    </row>
    <row r="3" spans="1:9" ht="43.2" x14ac:dyDescent="0.3">
      <c r="A3" s="86" t="s">
        <v>125</v>
      </c>
      <c r="B3" s="87" t="s">
        <v>239</v>
      </c>
      <c r="C3" s="87" t="s">
        <v>129</v>
      </c>
    </row>
    <row r="4" spans="1:9" ht="57.6" x14ac:dyDescent="0.3">
      <c r="A4" s="86" t="s">
        <v>126</v>
      </c>
      <c r="B4" s="87" t="s">
        <v>140</v>
      </c>
      <c r="C4" s="87" t="s">
        <v>130</v>
      </c>
    </row>
    <row r="5" spans="1:9" ht="70.8" customHeight="1" x14ac:dyDescent="0.3">
      <c r="A5" s="86" t="s">
        <v>132</v>
      </c>
      <c r="B5" s="178" t="s">
        <v>133</v>
      </c>
      <c r="C5" s="179" t="s">
        <v>240</v>
      </c>
      <c r="D5" s="55"/>
      <c r="E5" s="55"/>
      <c r="F5" s="55"/>
      <c r="G5" s="55"/>
      <c r="H5" s="55"/>
      <c r="I5" s="55"/>
    </row>
    <row r="6" spans="1:9" ht="72" x14ac:dyDescent="0.3">
      <c r="A6" s="86" t="s">
        <v>134</v>
      </c>
      <c r="B6" s="178" t="s">
        <v>135</v>
      </c>
      <c r="C6" s="179" t="s">
        <v>136</v>
      </c>
    </row>
    <row r="7" spans="1:9" ht="130.19999999999999" customHeight="1" x14ac:dyDescent="0.3">
      <c r="A7" s="86" t="s">
        <v>137</v>
      </c>
      <c r="B7" s="178" t="s">
        <v>138</v>
      </c>
      <c r="C7" s="179" t="s">
        <v>139</v>
      </c>
    </row>
    <row r="8" spans="1:9" x14ac:dyDescent="0.3">
      <c r="A8" s="185" t="s">
        <v>173</v>
      </c>
      <c r="B8" s="180" t="s">
        <v>174</v>
      </c>
      <c r="C8" s="181" t="s">
        <v>175</v>
      </c>
    </row>
    <row r="9" spans="1:9" ht="72" x14ac:dyDescent="0.3">
      <c r="A9" s="186" t="s">
        <v>176</v>
      </c>
      <c r="B9" s="181" t="s">
        <v>226</v>
      </c>
      <c r="C9" s="181" t="s">
        <v>196</v>
      </c>
    </row>
    <row r="10" spans="1:9" ht="128.4" customHeight="1" x14ac:dyDescent="0.3">
      <c r="A10" s="186" t="s">
        <v>177</v>
      </c>
      <c r="B10" s="180" t="s">
        <v>185</v>
      </c>
      <c r="C10" s="181" t="s">
        <v>184</v>
      </c>
    </row>
    <row r="11" spans="1:9" ht="33" customHeight="1" x14ac:dyDescent="0.3">
      <c r="A11" s="186" t="s">
        <v>178</v>
      </c>
      <c r="B11" s="181" t="s">
        <v>180</v>
      </c>
      <c r="C11" s="181" t="s">
        <v>181</v>
      </c>
    </row>
    <row r="12" spans="1:9" x14ac:dyDescent="0.3">
      <c r="A12" s="186" t="s">
        <v>179</v>
      </c>
      <c r="B12" s="181" t="s">
        <v>186</v>
      </c>
      <c r="C12" s="181" t="s">
        <v>182</v>
      </c>
    </row>
    <row r="13" spans="1:9" x14ac:dyDescent="0.3">
      <c r="A13" s="187" t="s">
        <v>183</v>
      </c>
      <c r="B13" s="179" t="s">
        <v>187</v>
      </c>
      <c r="C13" s="179" t="s">
        <v>188</v>
      </c>
    </row>
    <row r="14" spans="1:9" x14ac:dyDescent="0.3">
      <c r="A14" s="187" t="s">
        <v>189</v>
      </c>
      <c r="B14" s="182" t="s">
        <v>190</v>
      </c>
      <c r="C14" s="182"/>
    </row>
    <row r="15" spans="1:9" x14ac:dyDescent="0.3">
      <c r="A15" s="187" t="s">
        <v>191</v>
      </c>
      <c r="B15" s="183" t="s">
        <v>192</v>
      </c>
      <c r="C15" s="183"/>
    </row>
    <row r="16" spans="1:9" x14ac:dyDescent="0.3">
      <c r="A16" s="187" t="s">
        <v>193</v>
      </c>
      <c r="B16" s="183" t="s">
        <v>194</v>
      </c>
      <c r="C16" s="183" t="s">
        <v>195</v>
      </c>
    </row>
    <row r="17" spans="1:3" ht="30" customHeight="1" x14ac:dyDescent="0.3">
      <c r="A17" s="187" t="s">
        <v>197</v>
      </c>
      <c r="B17" s="184" t="s">
        <v>198</v>
      </c>
      <c r="C17" s="184" t="s">
        <v>199</v>
      </c>
    </row>
    <row r="18" spans="1:3" x14ac:dyDescent="0.3">
      <c r="A18" s="77"/>
      <c r="B18" s="78"/>
      <c r="C18" s="78"/>
    </row>
    <row r="19" spans="1:3" x14ac:dyDescent="0.3">
      <c r="A19" s="77"/>
      <c r="B19" s="78"/>
      <c r="C19" s="78"/>
    </row>
    <row r="20" spans="1:3" x14ac:dyDescent="0.3">
      <c r="A20" s="77"/>
      <c r="B20" s="78"/>
      <c r="C20" s="78"/>
    </row>
    <row r="21" spans="1:3" x14ac:dyDescent="0.3">
      <c r="A21" s="77"/>
      <c r="B21" s="78"/>
      <c r="C21" s="78"/>
    </row>
    <row r="22" spans="1:3" x14ac:dyDescent="0.3">
      <c r="A22" s="77"/>
      <c r="B22" s="78"/>
      <c r="C22" s="78"/>
    </row>
    <row r="23" spans="1:3" x14ac:dyDescent="0.3">
      <c r="A23" s="77"/>
      <c r="B23" s="78"/>
      <c r="C23" s="78"/>
    </row>
    <row r="24" spans="1:3" x14ac:dyDescent="0.3">
      <c r="A24" s="77"/>
      <c r="B24" s="78"/>
      <c r="C24" s="78"/>
    </row>
    <row r="25" spans="1:3" x14ac:dyDescent="0.3">
      <c r="A25" s="77"/>
      <c r="B25" s="78"/>
      <c r="C25" s="78"/>
    </row>
  </sheetData>
  <pageMargins left="0.70866141732283472" right="0.70866141732283472" top="0.74803149606299213" bottom="0.74803149606299213" header="0.31496062992125984" footer="0.31496062992125984"/>
  <pageSetup scale="7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Preconstruction</vt:lpstr>
      <vt:lpstr>Construction</vt:lpstr>
      <vt:lpstr>Receiving</vt:lpstr>
      <vt:lpstr>Condensed</vt:lpstr>
      <vt:lpstr>Recommendations</vt:lpstr>
      <vt:lpstr>Condensed!Print_Area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Aarts</dc:creator>
  <cp:lastModifiedBy>Owner</cp:lastModifiedBy>
  <cp:lastPrinted>2022-03-22T16:58:48Z</cp:lastPrinted>
  <dcterms:created xsi:type="dcterms:W3CDTF">2022-02-28T17:50:53Z</dcterms:created>
  <dcterms:modified xsi:type="dcterms:W3CDTF">2022-03-30T15:04:15Z</dcterms:modified>
</cp:coreProperties>
</file>